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4.xml" ContentType="application/vnd.openxmlformats-officedocument.drawing+xml"/>
  <Override PartName="/xl/worksheets/sheet27.xml" ContentType="application/vnd.openxmlformats-officedocument.spreadsheetml.worksheet+xml"/>
  <Override PartName="/xl/drawings/drawing15.xml" ContentType="application/vnd.openxmlformats-officedocument.drawing+xml"/>
  <Override PartName="/xl/worksheets/sheet28.xml" ContentType="application/vnd.openxmlformats-officedocument.spreadsheetml.worksheet+xml"/>
  <Override PartName="/xl/drawings/drawing16.xml" ContentType="application/vnd.openxmlformats-officedocument.drawing+xml"/>
  <Override PartName="/xl/worksheets/sheet29.xml" ContentType="application/vnd.openxmlformats-officedocument.spreadsheetml.worksheet+xml"/>
  <Override PartName="/xl/drawings/drawing17.xml" ContentType="application/vnd.openxmlformats-officedocument.drawing+xml"/>
  <Override PartName="/xl/worksheets/sheet30.xml" ContentType="application/vnd.openxmlformats-officedocument.spreadsheetml.worksheet+xml"/>
  <Override PartName="/xl/drawings/drawing18.xml" ContentType="application/vnd.openxmlformats-officedocument.drawing+xml"/>
  <Override PartName="/xl/worksheets/sheet31.xml" ContentType="application/vnd.openxmlformats-officedocument.spreadsheetml.worksheet+xml"/>
  <Override PartName="/xl/drawings/drawing19.xml" ContentType="application/vnd.openxmlformats-officedocument.drawing+xml"/>
  <Override PartName="/xl/worksheets/sheet32.xml" ContentType="application/vnd.openxmlformats-officedocument.spreadsheetml.worksheet+xml"/>
  <Override PartName="/xl/drawings/drawing20.xml" ContentType="application/vnd.openxmlformats-officedocument.drawing+xml"/>
  <Override PartName="/xl/worksheets/sheet33.xml" ContentType="application/vnd.openxmlformats-officedocument.spreadsheetml.worksheet+xml"/>
  <Override PartName="/xl/drawings/drawing21.xml" ContentType="application/vnd.openxmlformats-officedocument.drawing+xml"/>
  <Override PartName="/xl/worksheets/sheet34.xml" ContentType="application/vnd.openxmlformats-officedocument.spreadsheetml.worksheet+xml"/>
  <Override PartName="/xl/drawings/drawing22.xml" ContentType="application/vnd.openxmlformats-officedocument.drawing+xml"/>
  <Override PartName="/xl/worksheets/sheet35.xml" ContentType="application/vnd.openxmlformats-officedocument.spreadsheetml.worksheet+xml"/>
  <Override PartName="/xl/drawings/drawing23.xml" ContentType="application/vnd.openxmlformats-officedocument.drawing+xml"/>
  <Override PartName="/xl/worksheets/sheet36.xml" ContentType="application/vnd.openxmlformats-officedocument.spreadsheetml.worksheet+xml"/>
  <Override PartName="/xl/drawings/drawing24.xml" ContentType="application/vnd.openxmlformats-officedocument.drawing+xml"/>
  <Override PartName="/xl/worksheets/sheet37.xml" ContentType="application/vnd.openxmlformats-officedocument.spreadsheetml.worksheet+xml"/>
  <Override PartName="/xl/drawings/drawing25.xml" ContentType="application/vnd.openxmlformats-officedocument.drawing+xml"/>
  <Override PartName="/xl/worksheets/sheet38.xml" ContentType="application/vnd.openxmlformats-officedocument.spreadsheetml.worksheet+xml"/>
  <Override PartName="/xl/drawings/drawing26.xml" ContentType="application/vnd.openxmlformats-officedocument.drawing+xml"/>
  <Override PartName="/xl/worksheets/sheet39.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 yWindow="65191" windowWidth="5295" windowHeight="8370" tabRatio="934" activeTab="0"/>
  </bookViews>
  <sheets>
    <sheet name="Chapter 2" sheetId="1" r:id="rId1"/>
    <sheet name=" Chapter 3" sheetId="2" r:id="rId2"/>
    <sheet name="Chapter 4" sheetId="3" r:id="rId3"/>
    <sheet name="Chapter 5" sheetId="4" r:id="rId4"/>
    <sheet name="Chapter 6" sheetId="5" r:id="rId5"/>
    <sheet name="Chapter 8" sheetId="6" r:id="rId6"/>
    <sheet name="Chapter 9" sheetId="7" r:id="rId7"/>
    <sheet name="Chapter 10" sheetId="8" r:id="rId8"/>
    <sheet name=" Chapter 11" sheetId="9" r:id="rId9"/>
    <sheet name="Chapter 12" sheetId="10" r:id="rId10"/>
    <sheet name="Chapter 13" sheetId="11" r:id="rId11"/>
    <sheet name="Chapter 14" sheetId="12" r:id="rId12"/>
    <sheet name=" Chapter 16" sheetId="13" r:id="rId13"/>
    <sheet name="Chapter17" sheetId="14" r:id="rId14"/>
    <sheet name="Chapter 18" sheetId="15" r:id="rId15"/>
    <sheet name="Chapter 19 " sheetId="16" r:id="rId16"/>
    <sheet name="Chapter 20 " sheetId="17" r:id="rId17"/>
    <sheet name="Chapter 21" sheetId="18" r:id="rId18"/>
    <sheet name="Chapter 22" sheetId="19" r:id="rId19"/>
    <sheet name=" Chapter 23 " sheetId="20" r:id="rId20"/>
    <sheet name="Chapter 24" sheetId="21" r:id="rId21"/>
    <sheet name="Chapter 25" sheetId="22" r:id="rId22"/>
    <sheet name="Chapter 28 " sheetId="23" r:id="rId23"/>
    <sheet name="Chapter 29" sheetId="24" r:id="rId24"/>
    <sheet name="Chapter 30" sheetId="25" r:id="rId25"/>
    <sheet name=" Chapter 31 " sheetId="26" r:id="rId26"/>
    <sheet name=" Chapter 32 " sheetId="27" r:id="rId27"/>
    <sheet name="Chapter 33 " sheetId="28" r:id="rId28"/>
    <sheet name=" Chapter 34 " sheetId="29" r:id="rId29"/>
    <sheet name="Chapter 35 " sheetId="30" r:id="rId30"/>
    <sheet name="Chapter 36 " sheetId="31" r:id="rId31"/>
    <sheet name="Chapter 37" sheetId="32" r:id="rId32"/>
    <sheet name="Chapter 38" sheetId="33" r:id="rId33"/>
    <sheet name=" Chapter 39" sheetId="34" r:id="rId34"/>
    <sheet name="Chapter 40 " sheetId="35" r:id="rId35"/>
    <sheet name="Chapter 41 " sheetId="36" r:id="rId36"/>
    <sheet name="Chapter 43" sheetId="37" r:id="rId37"/>
    <sheet name="Chapter 45 " sheetId="38" r:id="rId38"/>
    <sheet name=" Chapter 48" sheetId="39" r:id="rId39"/>
  </sheets>
  <externalReferences>
    <externalReference r:id="rId42"/>
    <externalReference r:id="rId43"/>
    <externalReference r:id="rId44"/>
  </externalReferences>
  <definedNames>
    <definedName name="IS">'[2]Non'!$B$129</definedName>
    <definedName name="Jours">' Chapter 11'!$D$10</definedName>
    <definedName name="TVA">' Chapter 11'!$B$64</definedName>
    <definedName name="_xlnm.Print_Area" localSheetId="14">'Chapter 18'!$A:$G</definedName>
    <definedName name="_xlnm.Print_Area" localSheetId="0">'Chapter 2'!$A$1:$I$39</definedName>
  </definedNames>
  <calcPr fullCalcOnLoad="1"/>
</workbook>
</file>

<file path=xl/sharedStrings.xml><?xml version="1.0" encoding="utf-8"?>
<sst xmlns="http://schemas.openxmlformats.org/spreadsheetml/2006/main" count="2346" uniqueCount="1297">
  <si>
    <t>Number of units/year</t>
  </si>
  <si>
    <t>-&gt; Indeed, it depends of the number of units produced (cf. below)</t>
  </si>
  <si>
    <t>Revenues</t>
  </si>
  <si>
    <t>Capital expenditure</t>
  </si>
  <si>
    <t>Petrol station</t>
  </si>
  <si>
    <t>Net profits</t>
  </si>
  <si>
    <t>Net revenues</t>
  </si>
  <si>
    <t>Net book value of the fixed assets</t>
  </si>
  <si>
    <t>Accounting return</t>
  </si>
  <si>
    <t>Average accounting return</t>
  </si>
  <si>
    <t>Calculation of the accounting return of the project</t>
  </si>
  <si>
    <t>Average working capital</t>
  </si>
  <si>
    <t>Indice : il s'agit des comptes d'Enron</t>
  </si>
  <si>
    <t>2)</t>
  </si>
  <si>
    <t>1)</t>
  </si>
  <si>
    <t>Variation</t>
  </si>
  <si>
    <t>M</t>
  </si>
  <si>
    <t>Exercice 1</t>
  </si>
  <si>
    <t>Exercice 2</t>
  </si>
  <si>
    <t xml:space="preserve">Company Boomwichers NV </t>
  </si>
  <si>
    <t>Period</t>
  </si>
  <si>
    <t>Operating inflows</t>
  </si>
  <si>
    <t>Operating outflows</t>
  </si>
  <si>
    <t>Operating cash flows</t>
  </si>
  <si>
    <t>Investments</t>
  </si>
  <si>
    <t>Free cash flows</t>
  </si>
  <si>
    <t>Flows to creditors</t>
  </si>
  <si>
    <t>Flows to shareholders</t>
  </si>
  <si>
    <t>Year</t>
  </si>
  <si>
    <t>Interest</t>
  </si>
  <si>
    <t>and not 0.82 as written p.417</t>
  </si>
  <si>
    <t>Exercise 1: Fiat</t>
  </si>
  <si>
    <t>Share Fiat</t>
  </si>
  <si>
    <t>Italian index</t>
  </si>
  <si>
    <t>Return Fiat</t>
  </si>
  <si>
    <t>Return index</t>
  </si>
  <si>
    <t>Periodic return</t>
  </si>
  <si>
    <t>Index</t>
  </si>
  <si>
    <t>Total risk of the Fiat</t>
  </si>
  <si>
    <t>more detailed</t>
  </si>
  <si>
    <t>Standard deviation return index</t>
  </si>
  <si>
    <t>Mkt risk Fiat</t>
  </si>
  <si>
    <t>Specific risk Fiat</t>
  </si>
  <si>
    <t>Portion of the total risk explained by mkt risk</t>
  </si>
  <si>
    <t>Standard deviation</t>
  </si>
  <si>
    <t>Return</t>
  </si>
  <si>
    <t>% of added risk-free assets</t>
  </si>
  <si>
    <t>% of risk-free assets using debt</t>
  </si>
  <si>
    <t>Return P</t>
  </si>
  <si>
    <t>Return AL</t>
  </si>
  <si>
    <t>Expected return</t>
  </si>
  <si>
    <t>Portfolio</t>
  </si>
  <si>
    <t>r risk-free</t>
  </si>
  <si>
    <t>Mkt risk premium</t>
  </si>
  <si>
    <t>Share</t>
  </si>
  <si>
    <t>Evaluation</t>
  </si>
  <si>
    <t>Estimated price Alboni.com</t>
  </si>
  <si>
    <t>r market</t>
  </si>
  <si>
    <t>r expected</t>
  </si>
  <si>
    <t>r capm</t>
  </si>
  <si>
    <t>rj - r capm</t>
  </si>
  <si>
    <t>Trading price</t>
  </si>
  <si>
    <t>Dividends after</t>
  </si>
  <si>
    <t>Dividends 5 the 1st years</t>
  </si>
  <si>
    <t>Schedule of discounted cash flows</t>
  </si>
  <si>
    <t>kE</t>
  </si>
  <si>
    <r>
      <t>k</t>
    </r>
    <r>
      <rPr>
        <b/>
        <sz val="8"/>
        <rFont val="Verdana"/>
        <family val="2"/>
      </rPr>
      <t>E</t>
    </r>
  </si>
  <si>
    <t>Nominal value of the debt</t>
  </si>
  <si>
    <t>Trading price of the debt</t>
  </si>
  <si>
    <t>Cost of debt</t>
  </si>
  <si>
    <t>Number of shares issued</t>
  </si>
  <si>
    <t>ke</t>
  </si>
  <si>
    <t>Ve</t>
  </si>
  <si>
    <t>Book value</t>
  </si>
  <si>
    <t>Perpetual remuneration</t>
  </si>
  <si>
    <t>Cost of capital</t>
  </si>
  <si>
    <t xml:space="preserve">Cost </t>
  </si>
  <si>
    <t>Cash flow before tax</t>
  </si>
  <si>
    <t>Capital structure</t>
  </si>
  <si>
    <t>Percentage</t>
  </si>
  <si>
    <t>Cost before tax (%)</t>
  </si>
  <si>
    <t>Cost after tax (%)</t>
  </si>
  <si>
    <t>E</t>
  </si>
  <si>
    <t>cash flows (before tax)</t>
  </si>
  <si>
    <t>NPV before tax</t>
  </si>
  <si>
    <t>cash flows (after tax)</t>
  </si>
  <si>
    <t>NPV after tax</t>
  </si>
  <si>
    <t>Exercise 6: Cyclone case study</t>
  </si>
  <si>
    <t>Market capitalisation</t>
  </si>
  <si>
    <t>βE observed</t>
  </si>
  <si>
    <t>βD estimated</t>
  </si>
  <si>
    <t>Equipment sales division</t>
  </si>
  <si>
    <t>Maritim shipping division</t>
  </si>
  <si>
    <t>Shipyard</t>
  </si>
  <si>
    <t>Risk-free rate</t>
  </si>
  <si>
    <t>Group</t>
  </si>
  <si>
    <t>Bond</t>
  </si>
  <si>
    <t>Maturity (an)</t>
  </si>
  <si>
    <t>Annual coupon</t>
  </si>
  <si>
    <t>Zero-coupon rate</t>
  </si>
  <si>
    <t>EPS</t>
  </si>
  <si>
    <t>Payout ratio</t>
  </si>
  <si>
    <t>Projected EPS growth</t>
  </si>
  <si>
    <t>Discounted xash flows</t>
  </si>
  <si>
    <t>Value of share (year 3)</t>
  </si>
  <si>
    <t>Net EPS (year 3)</t>
  </si>
  <si>
    <t>P/E ratio (year 3)</t>
  </si>
  <si>
    <t>Payout</t>
  </si>
  <si>
    <t>BV/S</t>
  </si>
  <si>
    <t>P/R 2002</t>
  </si>
  <si>
    <t>Share price</t>
  </si>
  <si>
    <t>Yield</t>
  </si>
  <si>
    <t>Market risk premium</t>
  </si>
  <si>
    <t>Anticipated growth</t>
  </si>
  <si>
    <t>Risk</t>
  </si>
  <si>
    <t>Value created</t>
  </si>
  <si>
    <t>rE</t>
  </si>
  <si>
    <t>High</t>
  </si>
  <si>
    <t>Very high (cycle)</t>
  </si>
  <si>
    <t>Very high</t>
  </si>
  <si>
    <t>regularly</t>
  </si>
  <si>
    <t>Low</t>
  </si>
  <si>
    <t>P/E</t>
  </si>
  <si>
    <t>Payout ratio d</t>
  </si>
  <si>
    <t>Long term debt/ E</t>
  </si>
  <si>
    <t>Very low</t>
  </si>
  <si>
    <t>Call option</t>
  </si>
  <si>
    <t>Maturity</t>
  </si>
  <si>
    <t>Strike price K</t>
  </si>
  <si>
    <t>Value of the underlying</t>
  </si>
  <si>
    <t>Value option</t>
  </si>
  <si>
    <t>Application of Black Scholes to recalculate the value</t>
  </si>
  <si>
    <t>Call option (option 1)</t>
  </si>
  <si>
    <t>Increase of share price to 40 €</t>
  </si>
  <si>
    <t>Decrease of share price to 25 €</t>
  </si>
  <si>
    <t>Value per share</t>
  </si>
  <si>
    <t>Bonds</t>
  </si>
  <si>
    <t>Nominal value</t>
  </si>
  <si>
    <t>Interest rate</t>
  </si>
  <si>
    <t>EPS "fully diluted"</t>
  </si>
  <si>
    <t>Gain on interest expense</t>
  </si>
  <si>
    <t>Gain by share (fully diluted)</t>
  </si>
  <si>
    <t>Expected income</t>
  </si>
  <si>
    <t>Tax rate of return on short-term investments</t>
  </si>
  <si>
    <t>Issue price X</t>
  </si>
  <si>
    <t>Issuance of  the bond with attached warrants</t>
  </si>
  <si>
    <t>Convertible bond</t>
  </si>
  <si>
    <t>Bond with attached warrants
(tax rate of return 8%)</t>
  </si>
  <si>
    <t>Bond with attached warrants
(share buy back)</t>
  </si>
  <si>
    <t>Exercise Marionnaud Parfumeries</t>
  </si>
  <si>
    <t>Capital increase</t>
  </si>
  <si>
    <t>Existing shares</t>
  </si>
  <si>
    <t>Share price before issuance</t>
  </si>
  <si>
    <t>New shares</t>
  </si>
  <si>
    <t>Price of share issued</t>
  </si>
  <si>
    <t>Subscription ratio</t>
  </si>
  <si>
    <t>Mkt cap after cap. Increase</t>
  </si>
  <si>
    <t>Number of shares</t>
  </si>
  <si>
    <t>Theoretical share price after issuance</t>
  </si>
  <si>
    <t>Value of the share - 1 PSR</t>
  </si>
  <si>
    <t>Price of share issued + 5 PSR</t>
  </si>
  <si>
    <t>PSR</t>
  </si>
  <si>
    <t>Number</t>
  </si>
  <si>
    <t>- Shares</t>
  </si>
  <si>
    <t>- Purchase</t>
  </si>
  <si>
    <t>- Sale</t>
  </si>
  <si>
    <t>Operation</t>
  </si>
  <si>
    <t>- Cash from the operation</t>
  </si>
  <si>
    <t>- 1 PSR</t>
  </si>
  <si>
    <t>+ 5 PSR</t>
  </si>
  <si>
    <t>Net operating income</t>
  </si>
  <si>
    <t>Investment in …</t>
  </si>
  <si>
    <t>Return on capital employed</t>
  </si>
  <si>
    <t>Operating income today</t>
  </si>
  <si>
    <t>Operating income with the new investment</t>
  </si>
  <si>
    <t>Value of the division</t>
  </si>
  <si>
    <t>Initial value</t>
  </si>
  <si>
    <t>Expected value</t>
  </si>
  <si>
    <t>Credit</t>
  </si>
  <si>
    <t>Company Ellingham plc - Cash Forecast</t>
  </si>
  <si>
    <t>By-nature income statement</t>
  </si>
  <si>
    <t>Production sold</t>
  </si>
  <si>
    <t>Change in finished goods and in-progress inventory</t>
  </si>
  <si>
    <t>EBITDA</t>
  </si>
  <si>
    <t>Depreciation and amortisation</t>
  </si>
  <si>
    <t>Premises amortisation</t>
  </si>
  <si>
    <t>By-destination income statement</t>
  </si>
  <si>
    <t>Turnover</t>
  </si>
  <si>
    <t>Cost of sales</t>
  </si>
  <si>
    <t>Raw materials</t>
  </si>
  <si>
    <t>Personnel expenses</t>
  </si>
  <si>
    <t>Case</t>
  </si>
  <si>
    <t>Mother board</t>
  </si>
  <si>
    <t>Processor</t>
  </si>
  <si>
    <t>Memory</t>
  </si>
  <si>
    <t>Graphics</t>
  </si>
  <si>
    <t>Hard disk</t>
  </si>
  <si>
    <t>CD-ROM reader</t>
  </si>
  <si>
    <t>Parts</t>
  </si>
  <si>
    <t>Purchases of raw materials and goods for resale</t>
  </si>
  <si>
    <t>Change in raw materials and goods for resale</t>
  </si>
  <si>
    <t>Operating income</t>
  </si>
  <si>
    <t>Net interest and other financial charges</t>
  </si>
  <si>
    <t>Loan interest</t>
  </si>
  <si>
    <t>Exceptional gains</t>
  </si>
  <si>
    <t>Net earnings</t>
  </si>
  <si>
    <t>Tax</t>
  </si>
  <si>
    <t>Profit before tax and non-recurrent items</t>
  </si>
  <si>
    <t>Capital gains on premises sales</t>
  </si>
  <si>
    <t>Dividends</t>
  </si>
  <si>
    <t>Associated labor costs</t>
  </si>
  <si>
    <t>Retained earnings</t>
  </si>
  <si>
    <t>Screen</t>
  </si>
  <si>
    <t>Finished products</t>
  </si>
  <si>
    <t>Inventory</t>
  </si>
  <si>
    <t>Premises rental</t>
  </si>
  <si>
    <t>Price</t>
  </si>
  <si>
    <t>Opening inventory</t>
  </si>
  <si>
    <t>Opening price</t>
  </si>
  <si>
    <t>Closing inventory</t>
  </si>
  <si>
    <t>Closing price</t>
  </si>
  <si>
    <t>Sold</t>
  </si>
  <si>
    <t>Purchase</t>
  </si>
  <si>
    <t>Number of PC sold</t>
  </si>
  <si>
    <t>Retail price</t>
  </si>
  <si>
    <t>Labor cost</t>
  </si>
  <si>
    <t>Wages</t>
  </si>
  <si>
    <t>Depreciated value</t>
  </si>
  <si>
    <t>Number of months</t>
  </si>
  <si>
    <t>Loan</t>
  </si>
  <si>
    <t>Annual rate</t>
  </si>
  <si>
    <t>Number of the months of th year before reimbursement</t>
  </si>
  <si>
    <t>Tax rate</t>
  </si>
  <si>
    <t>Purchase of premise</t>
  </si>
  <si>
    <t>Sale of premise</t>
  </si>
  <si>
    <t>Capital gain</t>
  </si>
  <si>
    <t>Ellingham plc - By-function income statement</t>
  </si>
  <si>
    <t>Interest expense</t>
  </si>
  <si>
    <t>Sales</t>
  </si>
  <si>
    <t>- research and development costs</t>
  </si>
  <si>
    <t>- selling and administrative costs</t>
  </si>
  <si>
    <t>Raw materials used in the business</t>
  </si>
  <si>
    <t>Shipping</t>
  </si>
  <si>
    <t>Payroll costs</t>
  </si>
  <si>
    <t>- cost of sales</t>
  </si>
  <si>
    <t>Ellingham plc - Balance sheet</t>
  </si>
  <si>
    <t>Fixed assets, net (A)</t>
  </si>
  <si>
    <t>Date 0</t>
  </si>
  <si>
    <t>End 2005</t>
  </si>
  <si>
    <t>End 2006</t>
  </si>
  <si>
    <t>End 2007</t>
  </si>
  <si>
    <t>Inventories</t>
  </si>
  <si>
    <t>+ Trade receivables</t>
  </si>
  <si>
    <t>- Trade payables and other debts</t>
  </si>
  <si>
    <t>= Working capital (B)</t>
  </si>
  <si>
    <t>= Operating working capital</t>
  </si>
  <si>
    <t>+ Nonoperating working capital</t>
  </si>
  <si>
    <t>Capital employed (A+B)</t>
  </si>
  <si>
    <t xml:space="preserve">Shareholders' equity (C) </t>
  </si>
  <si>
    <t>= Net debt (D)</t>
  </si>
  <si>
    <t>Exercise 16</t>
  </si>
  <si>
    <t>Invested capital (C+D)</t>
  </si>
  <si>
    <t>- Cash and equivalents</t>
  </si>
  <si>
    <t>- Marketable securities</t>
  </si>
  <si>
    <t>Bank and financial debts</t>
  </si>
  <si>
    <t>Cash flow statement</t>
  </si>
  <si>
    <t>Net income</t>
  </si>
  <si>
    <t>+ Depreciation and amortisation</t>
  </si>
  <si>
    <t xml:space="preserve">Cash flow </t>
  </si>
  <si>
    <t>Change in impairment losses on fixed assets</t>
  </si>
  <si>
    <t>+ Change in impairment losses on fixed assets</t>
  </si>
  <si>
    <t>- Change in working capital</t>
  </si>
  <si>
    <t>Cash flow from operating activities</t>
  </si>
  <si>
    <t>Net decrease in debt</t>
  </si>
  <si>
    <t>+ Capital increase</t>
  </si>
  <si>
    <t>- Dividends</t>
  </si>
  <si>
    <t>+ Assets disposal</t>
  </si>
  <si>
    <t>- Investments</t>
  </si>
  <si>
    <t>- New borrowings</t>
  </si>
  <si>
    <t>+ Change in marketable securities</t>
  </si>
  <si>
    <t>+ Change in cash and cash equivalents</t>
  </si>
  <si>
    <t>Debt repayments</t>
  </si>
  <si>
    <t>S</t>
  </si>
  <si>
    <t>Bilan M+S</t>
  </si>
  <si>
    <t>Assets</t>
  </si>
  <si>
    <t>Equities and liabilities</t>
  </si>
  <si>
    <t>Income statement</t>
  </si>
  <si>
    <t>Exercise</t>
  </si>
  <si>
    <t>Tangible and intangible fixed assets</t>
  </si>
  <si>
    <t>Equity in associated companies</t>
  </si>
  <si>
    <t>others</t>
  </si>
  <si>
    <t>of the subsidiary</t>
  </si>
  <si>
    <t>Current assets</t>
  </si>
  <si>
    <t>Share capital</t>
  </si>
  <si>
    <t>Reserves</t>
  </si>
  <si>
    <t>Debt</t>
  </si>
  <si>
    <t>Minority interests</t>
  </si>
  <si>
    <t>Group share</t>
  </si>
  <si>
    <t>- Purchases of raw materials</t>
  </si>
  <si>
    <t>+ Sales</t>
  </si>
  <si>
    <t>Purchases of raw materials</t>
  </si>
  <si>
    <t>- Change in inventories</t>
  </si>
  <si>
    <t>- Other external services</t>
  </si>
  <si>
    <t>- Personnel costs</t>
  </si>
  <si>
    <t>- Interest and other finance charges</t>
  </si>
  <si>
    <t>+ Interest, dividends and other financial income</t>
  </si>
  <si>
    <t>- Exceptional costs</t>
  </si>
  <si>
    <t>+ Exceptional income</t>
  </si>
  <si>
    <t>- Corporate income tax</t>
  </si>
  <si>
    <t>= Net earnings</t>
  </si>
  <si>
    <t>+ Income from associates</t>
  </si>
  <si>
    <t>- Minority interests</t>
  </si>
  <si>
    <t>= Net earnings, group share</t>
  </si>
  <si>
    <t>Raw materials used</t>
  </si>
  <si>
    <t>Personnel cost</t>
  </si>
  <si>
    <t>Shareholders' equity</t>
  </si>
  <si>
    <t>Net bank borrowings</t>
  </si>
  <si>
    <t>Sales growth</t>
  </si>
  <si>
    <t>Operating margin</t>
  </si>
  <si>
    <t>Net margin</t>
  </si>
  <si>
    <t>Shareholders' equity / Net debt</t>
  </si>
  <si>
    <t>Risks</t>
  </si>
  <si>
    <t>Return on capital employed (ROCE)</t>
  </si>
  <si>
    <t>Return on equity (ROE)</t>
  </si>
  <si>
    <t>Operating costs not under control</t>
  </si>
  <si>
    <t>in % of total operating costs</t>
  </si>
  <si>
    <t>in % of sales</t>
  </si>
  <si>
    <t>Crisis simulation (on the basis of the sales of 1999)</t>
  </si>
  <si>
    <t>Assumption : simulation based on 2000 sales equal to 1999 sales</t>
  </si>
  <si>
    <t>Increase of raw materials</t>
  </si>
  <si>
    <t>Increase of labor costs</t>
  </si>
  <si>
    <t>Effects</t>
  </si>
  <si>
    <t>Exercise 2 - Guizzardi</t>
  </si>
  <si>
    <t xml:space="preserve">     Dividends</t>
  </si>
  <si>
    <t xml:space="preserve">Exercise </t>
  </si>
  <si>
    <t>Trading profit</t>
  </si>
  <si>
    <t>Other external charges</t>
  </si>
  <si>
    <t>Personnel costs</t>
  </si>
  <si>
    <t>Sector</t>
  </si>
  <si>
    <t>Marketing and selling costs</t>
  </si>
  <si>
    <t>Administrative costs</t>
  </si>
  <si>
    <t>Electricity producer</t>
  </si>
  <si>
    <t>Supermarket</t>
  </si>
  <si>
    <t>Specialised retailer</t>
  </si>
  <si>
    <t>Building and public infrastructure</t>
  </si>
  <si>
    <t>Temporary employment agency</t>
  </si>
  <si>
    <t>Low trading profit</t>
  </si>
  <si>
    <t>high trading profit</t>
  </si>
  <si>
    <t>Depreciation and amortization</t>
  </si>
  <si>
    <t>High outsourcing costs</t>
  </si>
  <si>
    <t>High personnel costs</t>
  </si>
  <si>
    <t>Company</t>
  </si>
  <si>
    <t>R&amp;D costs</t>
  </si>
  <si>
    <t>Cement</t>
  </si>
  <si>
    <t>Luxury products</t>
  </si>
  <si>
    <t>Travel agency</t>
  </si>
  <si>
    <t>Stationery</t>
  </si>
  <si>
    <t>Telecom equipment</t>
  </si>
  <si>
    <t>high marketing costs</t>
  </si>
  <si>
    <t>no R&amp;D</t>
  </si>
  <si>
    <t>high R&amp;D costs</t>
  </si>
  <si>
    <t>high marketing costs and high operating income margin</t>
  </si>
  <si>
    <t>Variable costs</t>
  </si>
  <si>
    <t>Fixed costs</t>
  </si>
  <si>
    <t>EBIT</t>
  </si>
  <si>
    <t>Financial expense</t>
  </si>
  <si>
    <t>Profit before tax and nonrecurring items</t>
  </si>
  <si>
    <t>Breakeven before financial costs</t>
  </si>
  <si>
    <t>Breakeven after financial costs</t>
  </si>
  <si>
    <t>Sales/Breakeven</t>
  </si>
  <si>
    <t>Exercise 1</t>
  </si>
  <si>
    <t>Exercise 2: Hoyos Group</t>
  </si>
  <si>
    <t>Operating revenues</t>
  </si>
  <si>
    <t>Purchases of raw materails and goods for resale</t>
  </si>
  <si>
    <t>Change in inventories</t>
  </si>
  <si>
    <t>Taxes</t>
  </si>
  <si>
    <t>Provisions</t>
  </si>
  <si>
    <t>Operating charges</t>
  </si>
  <si>
    <t>Interest, dividends and other financial income</t>
  </si>
  <si>
    <t>Interest and other finance charges</t>
  </si>
  <si>
    <t>Financial income</t>
  </si>
  <si>
    <t>Nonrecurring income</t>
  </si>
  <si>
    <t>Analysis</t>
  </si>
  <si>
    <t>Net interest and other finance charges</t>
  </si>
  <si>
    <t>Growth</t>
  </si>
  <si>
    <t>Gross trading profit</t>
  </si>
  <si>
    <t>Purchase cost of goods for resale</t>
  </si>
  <si>
    <t>Margins</t>
  </si>
  <si>
    <t>Value added</t>
  </si>
  <si>
    <t>Exercise 3: Schmidheiny Group</t>
  </si>
  <si>
    <t>Projected</t>
  </si>
  <si>
    <t>Other external services</t>
  </si>
  <si>
    <t>Outsourcing</t>
  </si>
  <si>
    <t>Total breakeven</t>
  </si>
  <si>
    <t>Financial costs</t>
  </si>
  <si>
    <t>Operating breakeven</t>
  </si>
  <si>
    <t>Other external services (50%)</t>
  </si>
  <si>
    <t>Exercise 1: Van de Putte Group</t>
  </si>
  <si>
    <t>Direct production costs</t>
  </si>
  <si>
    <t>Operating</t>
  </si>
  <si>
    <t>Raw materials inventories</t>
  </si>
  <si>
    <t>days</t>
  </si>
  <si>
    <t>months</t>
  </si>
  <si>
    <t>Days by months</t>
  </si>
  <si>
    <t>Production costs</t>
  </si>
  <si>
    <t>Length of production cycle</t>
  </si>
  <si>
    <t>Payments terms</t>
  </si>
  <si>
    <t>Suppliers</t>
  </si>
  <si>
    <t>Customers</t>
  </si>
  <si>
    <t>Finished products inventories</t>
  </si>
  <si>
    <t>% of sales</t>
  </si>
  <si>
    <t>Value in days of sales</t>
  </si>
  <si>
    <t>Time taken to shift goods or payment period</t>
  </si>
  <si>
    <t>Work in progress</t>
  </si>
  <si>
    <t>Trade receivables</t>
  </si>
  <si>
    <t>Trade payables</t>
  </si>
  <si>
    <t>Exercise 2: Spalton plc</t>
  </si>
  <si>
    <t>Permanent working capital</t>
  </si>
  <si>
    <t>of sales</t>
  </si>
  <si>
    <t>Sales year 1</t>
  </si>
  <si>
    <t>Sales year 2</t>
  </si>
  <si>
    <t>EBITDA year 2</t>
  </si>
  <si>
    <t>Operating cash flow (before taxes and financial expense)</t>
  </si>
  <si>
    <t>Exercise 3: Moretti Spa</t>
  </si>
  <si>
    <t>Balance sheet</t>
  </si>
  <si>
    <t>Inventories of finished goods</t>
  </si>
  <si>
    <t>Trade and notes receivable</t>
  </si>
  <si>
    <t>Trade and notes payable</t>
  </si>
  <si>
    <t>Sales (excl. VAT)</t>
  </si>
  <si>
    <t>Sales (incl. VAT)</t>
  </si>
  <si>
    <t>Purchases (incl. VAT)</t>
  </si>
  <si>
    <t>Working capital</t>
  </si>
  <si>
    <t>Days' inventories</t>
  </si>
  <si>
    <t>Working capital turnover</t>
  </si>
  <si>
    <t>Days/Receivables</t>
  </si>
  <si>
    <t>Issuance of warrants</t>
  </si>
  <si>
    <t>Value of a warrant</t>
  </si>
  <si>
    <t>Waiver of debt</t>
  </si>
  <si>
    <t>Value of warrants</t>
  </si>
  <si>
    <t>Value after capital increase</t>
  </si>
  <si>
    <t>Repayment raised by capital increase</t>
  </si>
  <si>
    <t>Value of senior creditors' assets</t>
  </si>
  <si>
    <t>Ratio min (Gamma/Delta)</t>
  </si>
  <si>
    <t>Ratio max (Gamma/Delta)</t>
  </si>
  <si>
    <t>PV</t>
  </si>
  <si>
    <t>Assets before the operation</t>
  </si>
  <si>
    <t>Assets after the operation</t>
  </si>
  <si>
    <t>3-month euro rate</t>
  </si>
  <si>
    <t>3-month dollar rate</t>
  </si>
  <si>
    <t>buyer/ borrow</t>
  </si>
  <si>
    <t>seller/ lend</t>
  </si>
  <si>
    <t>(from bank's side)</t>
  </si>
  <si>
    <t>Bank buys in 3 months 1 USD for ? EUR</t>
  </si>
  <si>
    <t>Bank sells in 3 months 1 USD for ? EUR</t>
  </si>
  <si>
    <t>I borrow USD</t>
  </si>
  <si>
    <t>I invest my USD</t>
  </si>
  <si>
    <t>Bank buys my USD</t>
  </si>
  <si>
    <t>Bank sells USD to me</t>
  </si>
  <si>
    <t>I invest my EUR</t>
  </si>
  <si>
    <t>I borrow my EUR</t>
  </si>
  <si>
    <t>1 EUR at 6 months</t>
  </si>
  <si>
    <t>6-month euro rate</t>
  </si>
  <si>
    <t>At which USD 6-month rate I borrow?</t>
  </si>
  <si>
    <t>At which USD 6-month rate I invest?</t>
  </si>
  <si>
    <t>I borrow EUR</t>
  </si>
  <si>
    <t>I sell USD</t>
  </si>
  <si>
    <t>I buy USD</t>
  </si>
  <si>
    <t>I invest EUR</t>
  </si>
  <si>
    <t>6-month USD rate</t>
  </si>
  <si>
    <t>I sell USD in 6 months</t>
  </si>
  <si>
    <t>I buy USD in 6 months</t>
  </si>
  <si>
    <t>(market trader)</t>
  </si>
  <si>
    <t>500 M$ in 3 months and for 3 months</t>
  </si>
  <si>
    <t>I borrow in 3 months</t>
  </si>
  <si>
    <t>I pay back in 6 months</t>
  </si>
  <si>
    <t>Option 1: by the market trader</t>
  </si>
  <si>
    <t>I borrow today for 6 months</t>
  </si>
  <si>
    <t>I invest today for 3 months</t>
  </si>
  <si>
    <t>I got back money 3 months later</t>
  </si>
  <si>
    <t>I pay back at the end of the 6 months</t>
  </si>
  <si>
    <t>Option 2: by the following arbitrage</t>
  </si>
  <si>
    <t>Gain option 2 over 1</t>
  </si>
  <si>
    <t>Finished goods</t>
  </si>
  <si>
    <t>Ellingham plc - Cash flow statement</t>
  </si>
  <si>
    <t>Specific characteristic</t>
  </si>
  <si>
    <t>Capital-employed analysis of the balance sheet</t>
  </si>
  <si>
    <t>year</t>
  </si>
  <si>
    <t>Schedule of cash flows - own production in comparison with the subcontractor offer</t>
  </si>
  <si>
    <t>Offered investment</t>
  </si>
  <si>
    <t>Company X</t>
  </si>
  <si>
    <t>Exercise 4 : Company Rowak</t>
  </si>
  <si>
    <t>free shares</t>
  </si>
  <si>
    <t>Synergies</t>
  </si>
  <si>
    <t>Exercise 1 : Company A</t>
  </si>
  <si>
    <t>Days/Payables</t>
  </si>
  <si>
    <t>Exercise 4</t>
  </si>
  <si>
    <t>Working capital component</t>
  </si>
  <si>
    <t>Inventories of goods for resale</t>
  </si>
  <si>
    <t>times a year</t>
  </si>
  <si>
    <t>Sales (excl. Tax)</t>
  </si>
  <si>
    <t>days month-end</t>
  </si>
  <si>
    <t>Payroll taxes, paid on the</t>
  </si>
  <si>
    <t>of the following month</t>
  </si>
  <si>
    <t>paid on</t>
  </si>
  <si>
    <t>Resale rotate</t>
  </si>
  <si>
    <t>Cost of goods sold</t>
  </si>
  <si>
    <t>Customer pay</t>
  </si>
  <si>
    <t>Suppliers paid on</t>
  </si>
  <si>
    <t>Salaries paid at the end of the month</t>
  </si>
  <si>
    <t>Payroll taxes</t>
  </si>
  <si>
    <t>VAT 19,6</t>
  </si>
  <si>
    <t>Trade receivable</t>
  </si>
  <si>
    <t>Accounts payable</t>
  </si>
  <si>
    <t>Social security contributions payable</t>
  </si>
  <si>
    <t>VAT payable</t>
  </si>
  <si>
    <t>Exercise 5</t>
  </si>
  <si>
    <t>Supplier credit</t>
  </si>
  <si>
    <t>Customer credit</t>
  </si>
  <si>
    <t>Purchases in % of sales</t>
  </si>
  <si>
    <t>No VAT</t>
  </si>
  <si>
    <t>Ratios</t>
  </si>
  <si>
    <t>a)</t>
  </si>
  <si>
    <t>b)</t>
  </si>
  <si>
    <t>A</t>
  </si>
  <si>
    <t>B</t>
  </si>
  <si>
    <t>C</t>
  </si>
  <si>
    <t>D</t>
  </si>
  <si>
    <t>Fiat</t>
  </si>
  <si>
    <t>σ AL</t>
  </si>
  <si>
    <t>XAL</t>
  </si>
  <si>
    <t>XAL (Z)</t>
  </si>
  <si>
    <t>σ P</t>
  </si>
  <si>
    <t>ρ AL,P</t>
  </si>
  <si>
    <t>XP</t>
  </si>
  <si>
    <t>σ AL,P</t>
  </si>
  <si>
    <t>E(r AL,P)</t>
  </si>
  <si>
    <t>XP (Z)</t>
  </si>
  <si>
    <t>E*</t>
  </si>
  <si>
    <t>β Aventis</t>
  </si>
  <si>
    <t>β PPR</t>
  </si>
  <si>
    <t>r PPR</t>
  </si>
  <si>
    <t>r Aventis</t>
  </si>
  <si>
    <t>Air Liquide</t>
  </si>
  <si>
    <t>Carrefour</t>
  </si>
  <si>
    <t>Volkswagen</t>
  </si>
  <si>
    <t>ING</t>
  </si>
  <si>
    <t>Alcatel</t>
  </si>
  <si>
    <t>VD</t>
  </si>
  <si>
    <t>jours</t>
  </si>
  <si>
    <t>M€</t>
  </si>
  <si>
    <t>Exercice 3</t>
  </si>
  <si>
    <t>i</t>
  </si>
  <si>
    <t>Payback ratio &amp; NPV at 10%</t>
  </si>
  <si>
    <t>Payback ratio</t>
  </si>
  <si>
    <t>NPV at 10%</t>
  </si>
  <si>
    <t>Average of the acc. return</t>
  </si>
  <si>
    <t>Calculation of the yield to maturity</t>
  </si>
  <si>
    <t>Cash flow schedule (new machine)</t>
  </si>
  <si>
    <t>Machine cost</t>
  </si>
  <si>
    <t>Length of depreciation</t>
  </si>
  <si>
    <t>Total length of depreciation</t>
  </si>
  <si>
    <t>Tax credit on the capital loss</t>
  </si>
  <si>
    <t>Tax credit</t>
  </si>
  <si>
    <t>Nominal value of depreciation</t>
  </si>
  <si>
    <t>Sale back of the machine</t>
  </si>
  <si>
    <t>Annual production</t>
  </si>
  <si>
    <t>units</t>
  </si>
  <si>
    <t>Initial machine cost</t>
  </si>
  <si>
    <t>Cost of the new machine</t>
  </si>
  <si>
    <t>direct labor cost/unit</t>
  </si>
  <si>
    <t>raw material/unit</t>
  </si>
  <si>
    <t>general costs/unité</t>
  </si>
  <si>
    <t>Sale back of the old machine</t>
  </si>
  <si>
    <t>Δ Tax (excl. Tax credit)</t>
  </si>
  <si>
    <t>Cash Flows</t>
  </si>
  <si>
    <t>Savings on operating costs</t>
  </si>
  <si>
    <t>Discounted cash flows</t>
  </si>
  <si>
    <t>Annual sales</t>
  </si>
  <si>
    <t>Extension of payment period (days)</t>
  </si>
  <si>
    <t>Increase in sales</t>
  </si>
  <si>
    <t>Sale price/unit</t>
  </si>
  <si>
    <t>Cost price</t>
  </si>
  <si>
    <t>Required return on capital invested (before tax)</t>
  </si>
  <si>
    <t>Number of units produced (in thousands)</t>
  </si>
  <si>
    <t>Δ operating profit</t>
  </si>
  <si>
    <t>Production cost</t>
  </si>
  <si>
    <t>Customer payment discounted at the date of payment</t>
  </si>
  <si>
    <t>Δ Customer credit cost</t>
  </si>
  <si>
    <t>Optimum extension period</t>
  </si>
  <si>
    <t>Offer on Tempus</t>
  </si>
  <si>
    <t>Shares</t>
  </si>
  <si>
    <t>already owned by WPP</t>
  </si>
  <si>
    <t>at the average price of</t>
  </si>
  <si>
    <t>Total price paid by WPP</t>
  </si>
  <si>
    <t>Value given by WPP</t>
  </si>
  <si>
    <t>Value given by Havas</t>
  </si>
  <si>
    <t>No, because of the opportunity costs linked with the offer of Havas Advertising</t>
  </si>
  <si>
    <t>Schedule of incremental and discounted cash flows</t>
  </si>
  <si>
    <t>P/E ratio</t>
  </si>
  <si>
    <t>Net profit</t>
  </si>
  <si>
    <t>Price (transaction)</t>
  </si>
  <si>
    <t>Value of the shareholders'equity</t>
  </si>
  <si>
    <t>New net profit</t>
  </si>
  <si>
    <t>Net profit C</t>
  </si>
  <si>
    <t>Net profit D</t>
  </si>
  <si>
    <t>Increase in net profit</t>
  </si>
  <si>
    <t>Increase in number of shares</t>
  </si>
  <si>
    <t>Growth of the EPS</t>
  </si>
  <si>
    <t>WACC</t>
  </si>
  <si>
    <t>Market cap.</t>
  </si>
  <si>
    <t>Book value of shareholders' equity, group share</t>
  </si>
  <si>
    <t>Initial investment</t>
  </si>
  <si>
    <t>Return in 5 years</t>
  </si>
  <si>
    <t>+</t>
  </si>
  <si>
    <t>-</t>
  </si>
  <si>
    <t>++</t>
  </si>
  <si>
    <t>---</t>
  </si>
  <si>
    <t>c)</t>
  </si>
  <si>
    <t>d)</t>
  </si>
  <si>
    <t>Danone</t>
  </si>
  <si>
    <t>Thyssen Krupp</t>
  </si>
  <si>
    <t>g (2000-2003)</t>
  </si>
  <si>
    <t>g 2003</t>
  </si>
  <si>
    <r>
      <t>r</t>
    </r>
    <r>
      <rPr>
        <vertAlign val="subscript"/>
        <sz val="10"/>
        <rFont val="Verdana"/>
        <family val="2"/>
      </rPr>
      <t>F</t>
    </r>
  </si>
  <si>
    <r>
      <t>(r</t>
    </r>
    <r>
      <rPr>
        <vertAlign val="subscript"/>
        <sz val="10"/>
        <rFont val="Verdana"/>
        <family val="2"/>
      </rPr>
      <t>F</t>
    </r>
    <r>
      <rPr>
        <sz val="10"/>
        <rFont val="Verdana"/>
        <family val="2"/>
      </rPr>
      <t>+σ²/2)*T</t>
    </r>
  </si>
  <si>
    <t>=</t>
  </si>
  <si>
    <t>Cash</t>
  </si>
  <si>
    <t>Financed with equity…</t>
  </si>
  <si>
    <t>…or with debt</t>
  </si>
  <si>
    <t>Debt/Equity</t>
  </si>
  <si>
    <t>EPS growth rate</t>
  </si>
  <si>
    <t>Rate of return on equity</t>
  </si>
  <si>
    <t>Equity</t>
  </si>
  <si>
    <t>Operating income after tax</t>
  </si>
  <si>
    <t>Reinvested earnings</t>
  </si>
  <si>
    <t>Interest expenses after tax</t>
  </si>
  <si>
    <t>Equity at the end of period</t>
  </si>
  <si>
    <t>Return on cap. Empl. after tax</t>
  </si>
  <si>
    <t>growth goal</t>
  </si>
  <si>
    <t>Cost of debt before tax</t>
  </si>
  <si>
    <t>Growth rate forecasted</t>
  </si>
  <si>
    <t>D/E</t>
  </si>
  <si>
    <t>Net EPS</t>
  </si>
  <si>
    <t>Growth yield</t>
  </si>
  <si>
    <t>Net yield</t>
  </si>
  <si>
    <t>and not 1,25% as written p.789</t>
  </si>
  <si>
    <t>DPS</t>
  </si>
  <si>
    <t>Growth of DPS</t>
  </si>
  <si>
    <t>Exercise 3 : Company Gassoumi</t>
  </si>
  <si>
    <t>Book value of equity</t>
  </si>
  <si>
    <t>Initial</t>
  </si>
  <si>
    <t>Share buy back at 500</t>
  </si>
  <si>
    <t>Share buy back at 1500</t>
  </si>
  <si>
    <t>Share buy back</t>
  </si>
  <si>
    <t>Cost of debt after tax</t>
  </si>
  <si>
    <t>Book value per share</t>
  </si>
  <si>
    <t>Market Cap</t>
  </si>
  <si>
    <t>Interest expenses before tax</t>
  </si>
  <si>
    <t>RE</t>
  </si>
  <si>
    <t>-&gt; Consistent payout policy</t>
  </si>
  <si>
    <t>Δ Earnings/Δ Equity</t>
  </si>
  <si>
    <t>without brutal fever</t>
  </si>
  <si>
    <t>with brutal fever</t>
  </si>
  <si>
    <t>Value of shared issued</t>
  </si>
  <si>
    <t>Subscription right</t>
  </si>
  <si>
    <t>in % of VE</t>
  </si>
  <si>
    <t>Raise funds</t>
  </si>
  <si>
    <t>a. Caculation of dilutions</t>
  </si>
  <si>
    <t>Apparent dilution</t>
  </si>
  <si>
    <t>Real dilution</t>
  </si>
  <si>
    <t>Technical dilution</t>
  </si>
  <si>
    <t>Adjustment coeeficient</t>
  </si>
  <si>
    <t>Distribution of free shares?</t>
  </si>
  <si>
    <t>number of shares</t>
  </si>
  <si>
    <t>nb of sub. Right to sale</t>
  </si>
  <si>
    <t>Revenues from the sale of the sub. rights</t>
  </si>
  <si>
    <t>Purchase of shares with the sub. rights available</t>
  </si>
  <si>
    <t>Sale / Purchase</t>
  </si>
  <si>
    <t>It is equivalent to distribute</t>
  </si>
  <si>
    <t>% initial control</t>
  </si>
  <si>
    <t>new % of control</t>
  </si>
  <si>
    <t>The shareholders do not subscribe…</t>
  </si>
  <si>
    <t>All the shareholders subscribe…</t>
  </si>
  <si>
    <t>% of control for 1 shareholder X</t>
  </si>
  <si>
    <t>Subscription by shareholder X</t>
  </si>
  <si>
    <t>Nb of shares bought</t>
  </si>
  <si>
    <t>% of control  for a shareholder X after</t>
  </si>
  <si>
    <t>New EPS</t>
  </si>
  <si>
    <t>Old EPS</t>
  </si>
  <si>
    <t>Growth of equity</t>
  </si>
  <si>
    <t>E before</t>
  </si>
  <si>
    <t>E after</t>
  </si>
  <si>
    <t>Book value of equity before</t>
  </si>
  <si>
    <t>Book value of equity after</t>
  </si>
  <si>
    <t>Exercise 2 : Ixo Capital increase</t>
  </si>
  <si>
    <t>In M€</t>
  </si>
  <si>
    <t>Revenue</t>
  </si>
  <si>
    <t>Exceptional items and other</t>
  </si>
  <si>
    <t>2001 (6 months)</t>
  </si>
  <si>
    <t>Intangible assets</t>
  </si>
  <si>
    <t>Tangible fixed assets</t>
  </si>
  <si>
    <t>Receivables and inventories</t>
  </si>
  <si>
    <t>Mkt securities and cash</t>
  </si>
  <si>
    <t>Sh. Equity and liabilities</t>
  </si>
  <si>
    <t>Current liabilities</t>
  </si>
  <si>
    <t>Issue price</t>
  </si>
  <si>
    <t>Growth of sales</t>
  </si>
  <si>
    <t>Operating profit margin more and more negative</t>
  </si>
  <si>
    <t>Big losses</t>
  </si>
  <si>
    <t>Increase of debt</t>
  </si>
  <si>
    <t>Negative equity</t>
  </si>
  <si>
    <t>Equity before the operation</t>
  </si>
  <si>
    <t>Equity after the operation</t>
  </si>
  <si>
    <t>Mkt cap before</t>
  </si>
  <si>
    <t>Pre-emptive subscription right</t>
  </si>
  <si>
    <t>Expected profit</t>
  </si>
  <si>
    <t>… in (years)</t>
  </si>
  <si>
    <t>Years</t>
  </si>
  <si>
    <t>Marketing costs</t>
  </si>
  <si>
    <t>Δ working capital</t>
  </si>
  <si>
    <t>Capital structure "targeted"</t>
  </si>
  <si>
    <t>Growth rate out to infinity</t>
  </si>
  <si>
    <t>Normalised cash flow</t>
  </si>
  <si>
    <t>and not 150 as written p.841</t>
  </si>
  <si>
    <t>- Δ in working capital</t>
  </si>
  <si>
    <t>- Capital expenditure</t>
  </si>
  <si>
    <t>Free Cash flows</t>
  </si>
  <si>
    <t>Terminal value</t>
  </si>
  <si>
    <t>- of terminal value</t>
  </si>
  <si>
    <t>V. Cap. Empl.</t>
  </si>
  <si>
    <t>- of the cash flows to the end of the explicit forecast</t>
  </si>
  <si>
    <t>and not 6967 as written p. 843</t>
  </si>
  <si>
    <t>and not 4730 as written p. 843</t>
  </si>
  <si>
    <t>Exercise 3 : Pixi Spa</t>
  </si>
  <si>
    <t>Exercise 1: Megabyte plc</t>
  </si>
  <si>
    <t>Exercise 2 : Management plc</t>
  </si>
  <si>
    <t>Multiple Operating profit</t>
  </si>
  <si>
    <t>Mean P/E</t>
  </si>
  <si>
    <t>Net debt (31/12/2002)</t>
  </si>
  <si>
    <t>2004e operating profit</t>
  </si>
  <si>
    <t>2004e net profits</t>
  </si>
  <si>
    <t>Alpha</t>
  </si>
  <si>
    <t>Beta</t>
  </si>
  <si>
    <t>Control par Mr Beta</t>
  </si>
  <si>
    <t>Control par Mr Alpha</t>
  </si>
  <si>
    <t>Before acquisition</t>
  </si>
  <si>
    <t>After acquisition</t>
  </si>
  <si>
    <t>Net profits method</t>
  </si>
  <si>
    <t>Equity value method</t>
  </si>
  <si>
    <t>Book equity method</t>
  </si>
  <si>
    <t>Book equity</t>
  </si>
  <si>
    <t>soccet</t>
  </si>
  <si>
    <t>socdet</t>
  </si>
  <si>
    <t>Gamma</t>
  </si>
  <si>
    <t>Delta</t>
  </si>
  <si>
    <t>a. After acquisition of Gamma by Delta…</t>
  </si>
  <si>
    <t>Gamma shareholders</t>
  </si>
  <si>
    <t>Delta shareholders</t>
  </si>
  <si>
    <t>Equity per share</t>
  </si>
  <si>
    <t>b. Different P/E</t>
  </si>
  <si>
    <t>Gamma P/E</t>
  </si>
  <si>
    <t>c. Synergies breakdown?</t>
  </si>
  <si>
    <t>Increase of profits</t>
  </si>
  <si>
    <t>P/E after merger</t>
  </si>
  <si>
    <t>Value created by the merger</t>
  </si>
  <si>
    <t>V Epsilon</t>
  </si>
  <si>
    <t>e. Value created</t>
  </si>
  <si>
    <t>V created</t>
  </si>
  <si>
    <t>Revaluation of Epsilon</t>
  </si>
  <si>
    <t>d. Value of Epsilon</t>
  </si>
  <si>
    <t>and not 3250 as written p.910</t>
  </si>
  <si>
    <t>Synergies industrielles</t>
  </si>
  <si>
    <t>MVA</t>
  </si>
  <si>
    <t>en M€</t>
  </si>
  <si>
    <t>EVA</t>
  </si>
  <si>
    <r>
      <t>V</t>
    </r>
    <r>
      <rPr>
        <vertAlign val="subscript"/>
        <sz val="10"/>
        <rFont val="Verdana"/>
        <family val="2"/>
      </rPr>
      <t>D</t>
    </r>
  </si>
  <si>
    <r>
      <t>k</t>
    </r>
    <r>
      <rPr>
        <vertAlign val="subscript"/>
        <sz val="8"/>
        <rFont val="Verdana"/>
        <family val="2"/>
      </rPr>
      <t>D</t>
    </r>
  </si>
  <si>
    <t>β FT</t>
  </si>
  <si>
    <t>β DT</t>
  </si>
  <si>
    <t>kd FT</t>
  </si>
  <si>
    <t>Vd/V FT</t>
  </si>
  <si>
    <t>k FT</t>
  </si>
  <si>
    <t>k DT</t>
  </si>
  <si>
    <t>kd DT</t>
  </si>
  <si>
    <t>Vd/V DT</t>
  </si>
  <si>
    <t>Nbre de pièces/an</t>
  </si>
  <si>
    <t>Havas Advertising</t>
  </si>
  <si>
    <t>WPP</t>
  </si>
  <si>
    <t>Tempus</t>
  </si>
  <si>
    <t>M£</t>
  </si>
  <si>
    <t>du CA</t>
  </si>
  <si>
    <t xml:space="preserve"> </t>
  </si>
  <si>
    <t>Decrease of activity</t>
  </si>
  <si>
    <t>Decrease of negative margins</t>
  </si>
  <si>
    <t>Important debt</t>
  </si>
  <si>
    <t>Sale of part of the capital employed</t>
  </si>
  <si>
    <t>-&gt; Threat of bankrupcy</t>
  </si>
  <si>
    <t>Value of senior debt</t>
  </si>
  <si>
    <t>Value of subordinated debt</t>
  </si>
  <si>
    <t>Issued price</t>
  </si>
  <si>
    <t>Pay back</t>
  </si>
  <si>
    <t>Subordinated creditors</t>
  </si>
  <si>
    <t>d) Creditors are the one who take advantage of the plan</t>
  </si>
  <si>
    <t>Value before capital increase</t>
  </si>
  <si>
    <t>Senior creditors</t>
  </si>
  <si>
    <t>Annual income</t>
  </si>
  <si>
    <t>NPV of the perpetual income</t>
  </si>
  <si>
    <t>Income rise per year</t>
  </si>
  <si>
    <t>NPV of the new perpetual income</t>
  </si>
  <si>
    <t>NPV of the revenues over 3 years</t>
  </si>
  <si>
    <t>required return</t>
  </si>
  <si>
    <t>Maximum price</t>
  </si>
  <si>
    <t>Market price</t>
  </si>
  <si>
    <t>-&gt; buy because:</t>
  </si>
  <si>
    <t>Return rate</t>
  </si>
  <si>
    <t>Value of the perpetual income</t>
  </si>
  <si>
    <t>Value of the share</t>
  </si>
  <si>
    <t>Difference</t>
  </si>
  <si>
    <t>Annual price</t>
  </si>
  <si>
    <t>Opportunity costs</t>
  </si>
  <si>
    <t>Value of the offer with the annual rent</t>
  </si>
  <si>
    <t>TV rights</t>
  </si>
  <si>
    <t>Rate every 2 years</t>
  </si>
  <si>
    <t>Nb of screenings</t>
  </si>
  <si>
    <t>Value in perpetuity</t>
  </si>
  <si>
    <t>Value for 30 years</t>
  </si>
  <si>
    <t>Rent</t>
  </si>
  <si>
    <t>Purchase price</t>
  </si>
  <si>
    <t>Exercise 24</t>
  </si>
  <si>
    <t>Interruption (years)</t>
  </si>
  <si>
    <t>Earnings with the MBA</t>
  </si>
  <si>
    <t>Cost of MBA</t>
  </si>
  <si>
    <t>Years before retirement</t>
  </si>
  <si>
    <t>NPV without MBA</t>
  </si>
  <si>
    <t>NPV with MBA</t>
  </si>
  <si>
    <t>NPV of the MBA</t>
  </si>
  <si>
    <t>Treasury bill rate</t>
  </si>
  <si>
    <t>Mkt portfolio return</t>
  </si>
  <si>
    <t>Investment return &lt; Required rate of return</t>
  </si>
  <si>
    <t>=&gt; NPV &lt;0</t>
  </si>
  <si>
    <t>Exercise 1: Starjö AB</t>
  </si>
  <si>
    <t>Exercise 2: Ellingham plc - By-nature income statement</t>
  </si>
  <si>
    <t>+ Closing inventory of finished products</t>
  </si>
  <si>
    <t>- Opening inventory and work in progress</t>
  </si>
  <si>
    <t>= Production for the year</t>
  </si>
  <si>
    <t>- Purchases of raw materials and goods for resale</t>
  </si>
  <si>
    <t>- Opening inventory of raw materials and goods for resale</t>
  </si>
  <si>
    <t>+ Closing inventory of raw materials and goods for resale</t>
  </si>
  <si>
    <t>= Gross profit on raw materials and goods for resale</t>
  </si>
  <si>
    <t>- Personnel expenses</t>
  </si>
  <si>
    <t>- Services (other operating expenses)</t>
  </si>
  <si>
    <t>- Depreciation and amortisation</t>
  </si>
  <si>
    <t>= EBIT</t>
  </si>
  <si>
    <t xml:space="preserve">Exercise 3: Carvalho SA </t>
  </si>
  <si>
    <t>Nb of barrels produced</t>
  </si>
  <si>
    <t>Nb of barrels sold</t>
  </si>
  <si>
    <t>Price of a barrel</t>
  </si>
  <si>
    <t>Oak purchase per barrel</t>
  </si>
  <si>
    <t>Labor cost per barrel</t>
  </si>
  <si>
    <t>Sales force costs per year</t>
  </si>
  <si>
    <t>Annual depreciation of the production facilities</t>
  </si>
  <si>
    <t>Opening inventory of raw materials</t>
  </si>
  <si>
    <t>Closing inventory of raw materials</t>
  </si>
  <si>
    <t>All spendings on raw materials</t>
  </si>
  <si>
    <t>By-function income statement</t>
  </si>
  <si>
    <t>Sales (products)</t>
  </si>
  <si>
    <t>Selling and marketing costs</t>
  </si>
  <si>
    <t>General and administrative costs</t>
  </si>
  <si>
    <t>Depreciation for production machinery</t>
  </si>
  <si>
    <t xml:space="preserve">   production machinery</t>
  </si>
  <si>
    <t xml:space="preserve">   sales facilities</t>
  </si>
  <si>
    <t xml:space="preserve">   administrative facilities</t>
  </si>
  <si>
    <t>Spot rate</t>
  </si>
  <si>
    <t>Coupon</t>
  </si>
  <si>
    <t>PV at rt</t>
  </si>
  <si>
    <t>mean</t>
  </si>
  <si>
    <t>Growth of dividends</t>
  </si>
  <si>
    <t>Required return</t>
  </si>
  <si>
    <t>Current stock price</t>
  </si>
  <si>
    <t>Next year stock price</t>
  </si>
  <si>
    <t>At the end of 3 years stock price</t>
  </si>
  <si>
    <t>Dividend</t>
  </si>
  <si>
    <t>Growth rate</t>
  </si>
  <si>
    <t>Market capitalisation rate</t>
  </si>
  <si>
    <t>Length already depreciated</t>
  </si>
  <si>
    <t>Bad debts/sales</t>
  </si>
  <si>
    <t>Increase in bad debts</t>
  </si>
  <si>
    <t>Economic situation</t>
  </si>
  <si>
    <t>Operating cash flow</t>
  </si>
  <si>
    <t>Payment of debt</t>
  </si>
  <si>
    <t>Shareholders' portion of cash flows</t>
  </si>
  <si>
    <t>Value of capital employed</t>
  </si>
  <si>
    <t>Value of debt</t>
  </si>
  <si>
    <t>Value of equity</t>
  </si>
  <si>
    <t>Value of the investment project</t>
  </si>
  <si>
    <t>Option 1 : financing by debt</t>
  </si>
  <si>
    <t>Option 2 : financing by equity</t>
  </si>
  <si>
    <t>Maximum financing for the shareholders</t>
  </si>
  <si>
    <t>Condition for new creditors to enter : pay back priority, before the already existing creditors</t>
  </si>
  <si>
    <t>Yes, but the problem is even worse as the company is about to go bankruptcy</t>
  </si>
  <si>
    <t>Exercise 2 : JNH</t>
  </si>
  <si>
    <t>Interests expenses</t>
  </si>
  <si>
    <t>Exceptional items</t>
  </si>
  <si>
    <t>Senior debt</t>
  </si>
  <si>
    <t>Subordinated debt</t>
  </si>
  <si>
    <t>Nb of shares</t>
  </si>
  <si>
    <t>Taux</t>
  </si>
  <si>
    <t>Durée</t>
  </si>
  <si>
    <t>Alternative</t>
  </si>
  <si>
    <t>75%/n</t>
  </si>
  <si>
    <t>125%/n</t>
  </si>
  <si>
    <t>Valeur capitalisée</t>
  </si>
  <si>
    <t>Capital initial</t>
  </si>
  <si>
    <t>K€</t>
  </si>
  <si>
    <t>$</t>
  </si>
  <si>
    <t>Vo</t>
  </si>
  <si>
    <t>Date</t>
  </si>
  <si>
    <t>V0</t>
  </si>
  <si>
    <t>V2</t>
  </si>
  <si>
    <t>V7</t>
  </si>
  <si>
    <t>Vf</t>
  </si>
  <si>
    <t>€</t>
  </si>
  <si>
    <t>Objectif ET 14%</t>
  </si>
  <si>
    <t>Objectif ET 23%</t>
  </si>
  <si>
    <t>Titres</t>
  </si>
  <si>
    <t>ρ C,D</t>
  </si>
  <si>
    <t>ε</t>
  </si>
  <si>
    <t>δ</t>
  </si>
  <si>
    <t>σ</t>
  </si>
  <si>
    <t>β</t>
  </si>
  <si>
    <t>α</t>
  </si>
  <si>
    <t>EUR</t>
  </si>
  <si>
    <t>β Alboni.com</t>
  </si>
  <si>
    <t>bj1</t>
  </si>
  <si>
    <t>rj</t>
  </si>
  <si>
    <t>bj2</t>
  </si>
  <si>
    <t>ans</t>
  </si>
  <si>
    <t>g</t>
  </si>
  <si>
    <t>V</t>
  </si>
  <si>
    <t>PBR</t>
  </si>
  <si>
    <t>Recapitalisation</t>
  </si>
  <si>
    <t>M6</t>
  </si>
  <si>
    <t>d</t>
  </si>
  <si>
    <t>N(d2)</t>
  </si>
  <si>
    <t>N(d1)</t>
  </si>
  <si>
    <t>T</t>
  </si>
  <si>
    <t>d1</t>
  </si>
  <si>
    <t>d2</t>
  </si>
  <si>
    <t>ln(V/K)</t>
  </si>
  <si>
    <t>(rF+σ²/2)*T</t>
  </si>
  <si>
    <t>σ*√T</t>
  </si>
  <si>
    <t>exp(-T*rF)</t>
  </si>
  <si>
    <t>Vol σ</t>
  </si>
  <si>
    <t>option 1</t>
  </si>
  <si>
    <t>option 2</t>
  </si>
  <si>
    <t>Division</t>
  </si>
  <si>
    <t>Vd/V</t>
  </si>
  <si>
    <t>kd</t>
  </si>
  <si>
    <t>k</t>
  </si>
  <si>
    <t>Vd</t>
  </si>
  <si>
    <t>Arbitrage</t>
  </si>
  <si>
    <t>kd1</t>
  </si>
  <si>
    <t>k0</t>
  </si>
  <si>
    <t>Vd1</t>
  </si>
  <si>
    <t>β0</t>
  </si>
  <si>
    <t>k1</t>
  </si>
  <si>
    <t>β1</t>
  </si>
  <si>
    <t>βd1</t>
  </si>
  <si>
    <t>Vd total</t>
  </si>
  <si>
    <t>Δ Vd1</t>
  </si>
  <si>
    <t>Δ Vd2</t>
  </si>
  <si>
    <t>Verfinance</t>
  </si>
  <si>
    <t>Vd verfinance</t>
  </si>
  <si>
    <t>Δ Vd</t>
  </si>
  <si>
    <t>Holding SA</t>
  </si>
  <si>
    <t>Valeur unit.</t>
  </si>
  <si>
    <t>M EUR</t>
  </si>
  <si>
    <t>subvention</t>
  </si>
  <si>
    <t>1 USD</t>
  </si>
  <si>
    <t>date</t>
  </si>
  <si>
    <t>Charges</t>
  </si>
  <si>
    <t>Parking</t>
  </si>
  <si>
    <t>Garage</t>
  </si>
  <si>
    <t>Gain sur achat extérieur</t>
  </si>
  <si>
    <t>CP</t>
  </si>
  <si>
    <t>rm</t>
  </si>
  <si>
    <t>maxi!</t>
  </si>
  <si>
    <t>Total Fina Elf</t>
  </si>
  <si>
    <t>VE/V</t>
  </si>
  <si>
    <t>debt</t>
  </si>
  <si>
    <r>
      <t>k</t>
    </r>
    <r>
      <rPr>
        <vertAlign val="subscript"/>
        <sz val="10"/>
        <rFont val="Verdana"/>
        <family val="2"/>
      </rPr>
      <t>E</t>
    </r>
  </si>
  <si>
    <r>
      <t>V</t>
    </r>
    <r>
      <rPr>
        <vertAlign val="subscript"/>
        <sz val="10"/>
        <rFont val="Verdana"/>
        <family val="2"/>
      </rPr>
      <t>E</t>
    </r>
  </si>
  <si>
    <r>
      <t>V</t>
    </r>
    <r>
      <rPr>
        <vertAlign val="subscript"/>
        <sz val="10"/>
        <rFont val="Verdana"/>
        <family val="2"/>
      </rPr>
      <t>D</t>
    </r>
    <r>
      <rPr>
        <sz val="10"/>
        <rFont val="Verdana"/>
        <family val="2"/>
      </rPr>
      <t>/(VE+V</t>
    </r>
    <r>
      <rPr>
        <vertAlign val="subscript"/>
        <sz val="10"/>
        <rFont val="Verdana"/>
        <family val="2"/>
      </rPr>
      <t>D</t>
    </r>
    <r>
      <rPr>
        <sz val="10"/>
        <rFont val="Verdana"/>
        <family val="2"/>
      </rPr>
      <t>)</t>
    </r>
  </si>
  <si>
    <t>amount</t>
  </si>
  <si>
    <t>Total revenues</t>
  </si>
  <si>
    <t>Share values</t>
  </si>
  <si>
    <t>Personal portfolio</t>
  </si>
  <si>
    <t>Underlying debt</t>
  </si>
  <si>
    <t>Sale of shares B</t>
  </si>
  <si>
    <t>Available cash</t>
  </si>
  <si>
    <t>Initial % of shares</t>
  </si>
  <si>
    <t>For the same level of risk:</t>
  </si>
  <si>
    <t>% of the portfolio in cash</t>
  </si>
  <si>
    <t>Shares C</t>
  </si>
  <si>
    <t>Investment in cash</t>
  </si>
  <si>
    <t>Portfolio return</t>
  </si>
  <si>
    <t>Example :</t>
  </si>
  <si>
    <t>VE</t>
  </si>
  <si>
    <t>Vd/(VE+Vd)</t>
  </si>
  <si>
    <t>Revenues from the shares</t>
  </si>
  <si>
    <t>Revenues from cash</t>
  </si>
  <si>
    <t>Reproduction of the financial structure</t>
  </si>
  <si>
    <t>for</t>
  </si>
  <si>
    <t>V Cap. Employed</t>
  </si>
  <si>
    <t>Initial money to invest</t>
  </si>
  <si>
    <t>Comparison of the 2 investments</t>
  </si>
  <si>
    <t>% of shares</t>
  </si>
  <si>
    <t>value of the shares</t>
  </si>
  <si>
    <t>annual dividends</t>
  </si>
  <si>
    <t>revenues</t>
  </si>
  <si>
    <t>Underlying P/E</t>
  </si>
  <si>
    <t>The arbitrage stops when the values of capital employed of the 2 companies converge.</t>
  </si>
  <si>
    <t>kE0</t>
  </si>
  <si>
    <t>Cap. Employed0</t>
  </si>
  <si>
    <t>Cap. employed1</t>
  </si>
  <si>
    <t>VE1</t>
  </si>
  <si>
    <t>kE1</t>
  </si>
  <si>
    <t>βE0</t>
  </si>
  <si>
    <t>βE1</t>
  </si>
  <si>
    <t>r risk free</t>
  </si>
  <si>
    <t>kE FT</t>
  </si>
  <si>
    <t>kE DT</t>
  </si>
  <si>
    <t>Vd/VE FT</t>
  </si>
  <si>
    <t>VE/V FT</t>
  </si>
  <si>
    <t>VE/V DT</t>
  </si>
  <si>
    <t>VE0</t>
  </si>
  <si>
    <t>V Cap. Empl.1</t>
  </si>
  <si>
    <t>V of tax saving</t>
  </si>
  <si>
    <t>New debt</t>
  </si>
  <si>
    <t>V of tax saving non received &gt; 4 years</t>
  </si>
  <si>
    <t>Italy</t>
  </si>
  <si>
    <t>Morocco</t>
  </si>
  <si>
    <t>Total taxes</t>
  </si>
  <si>
    <t>Investors' net income</t>
  </si>
  <si>
    <t>Pre-tax profit</t>
  </si>
  <si>
    <t>Income tax</t>
  </si>
  <si>
    <t>on dividends/capital gains</t>
  </si>
  <si>
    <t>Call options Uninet</t>
  </si>
  <si>
    <t>Vd verfinance/n shares</t>
  </si>
  <si>
    <t>VE verfinance</t>
  </si>
  <si>
    <t>n shares Uninet</t>
  </si>
  <si>
    <t>V shares Uninet</t>
  </si>
  <si>
    <t>Strike price</t>
  </si>
  <si>
    <t>5-year option</t>
  </si>
  <si>
    <t>7-year option</t>
  </si>
  <si>
    <t>b. valuation of Equity and debt</t>
  </si>
  <si>
    <t>c. Increase of E value</t>
  </si>
  <si>
    <t>number of shares sold</t>
  </si>
  <si>
    <t>Option 1: Change debt maturity from 5 years to 7 years, so:</t>
  </si>
  <si>
    <t>Option 2: To sale some of the shares</t>
  </si>
  <si>
    <t>-&gt; Transfer of value from creditors to shareholders</t>
  </si>
  <si>
    <t>Option 3 : "Exchange" Uninet shares for much more volatile shares</t>
  </si>
  <si>
    <t>V Cap. Emp.</t>
  </si>
  <si>
    <t>Volatility Cap. Emp.</t>
  </si>
  <si>
    <t>before</t>
  </si>
  <si>
    <t>after</t>
  </si>
  <si>
    <t>Δ VE</t>
  </si>
  <si>
    <t>number</t>
  </si>
  <si>
    <t>3-year option</t>
  </si>
  <si>
    <t>Debt/n shares Holding SA</t>
  </si>
  <si>
    <t>VE before</t>
  </si>
  <si>
    <t>Vd before</t>
  </si>
  <si>
    <t>Shares Fille SA sold</t>
  </si>
  <si>
    <t>V shares Fille SA</t>
  </si>
  <si>
    <t>Bonds issued</t>
  </si>
  <si>
    <t>V shares Holding SA</t>
  </si>
  <si>
    <t>Equity and liabilities</t>
  </si>
  <si>
    <t>Call option Fille SA</t>
  </si>
  <si>
    <t>VE after</t>
  </si>
  <si>
    <t>Vd after</t>
  </si>
  <si>
    <t>Shareholders</t>
  </si>
  <si>
    <t>Before</t>
  </si>
  <si>
    <t>After</t>
  </si>
  <si>
    <t>Yield to maturity debt</t>
  </si>
  <si>
    <t>Creditors</t>
  </si>
  <si>
    <t>c) Result of the operation</t>
  </si>
  <si>
    <t>Value of the option</t>
  </si>
  <si>
    <t>Call option of 94 shares Fille SA at the price of 300 000:</t>
  </si>
  <si>
    <t>1 EUR</t>
  </si>
  <si>
    <t>USD</t>
  </si>
  <si>
    <t>Cs (1 USD)</t>
  </si>
  <si>
    <t>Ct (1 USD)</t>
  </si>
  <si>
    <t>1 EUR Spot</t>
  </si>
  <si>
    <t>Gain</t>
  </si>
  <si>
    <t>Nbre d'actions de Soccet</t>
  </si>
  <si>
    <t>Total</t>
  </si>
  <si>
    <t>Production</t>
  </si>
  <si>
    <t>Fixed assets</t>
  </si>
  <si>
    <t>Income tax expense</t>
  </si>
  <si>
    <t>Cash flow</t>
  </si>
  <si>
    <t>Change in working capital</t>
  </si>
  <si>
    <t>Cash flow from operating activities (A)</t>
  </si>
  <si>
    <t>Capital expenditures (B)</t>
  </si>
  <si>
    <t>Free cash flow (after tax and interest)</t>
  </si>
  <si>
    <t>Capital increase (C)</t>
  </si>
  <si>
    <t>Dividends (D)</t>
  </si>
  <si>
    <t>(A)-(B)+(C)-(D)=Net decrease in debt</t>
  </si>
  <si>
    <t>Cf. the book</t>
  </si>
  <si>
    <t>Exercise 2</t>
  </si>
  <si>
    <t>Sales margin (after tax)</t>
  </si>
  <si>
    <t>Return on equity</t>
  </si>
  <si>
    <t>Cost of borrowing before tax</t>
  </si>
  <si>
    <t>Capital employed</t>
  </si>
  <si>
    <t>Enter the shareholders' equity</t>
  </si>
  <si>
    <t>Financial structure</t>
  </si>
  <si>
    <t>Net debt</t>
  </si>
  <si>
    <t>Operating profit</t>
  </si>
  <si>
    <t>Interest and finance charges</t>
  </si>
  <si>
    <t>Exercise 3</t>
  </si>
  <si>
    <t>Leverage effect</t>
  </si>
  <si>
    <t>Exercise 4: Adidas Salomon</t>
  </si>
  <si>
    <t>Consolidated income statement</t>
  </si>
  <si>
    <t>Consolidated balance sheet</t>
  </si>
  <si>
    <t>Goodwill</t>
  </si>
  <si>
    <t>+ Fixed tangibles and intangibles</t>
  </si>
  <si>
    <t>+ Equity in associated companies</t>
  </si>
  <si>
    <t>+ Other investments</t>
  </si>
  <si>
    <t>Total inventories</t>
  </si>
  <si>
    <t>+ Total receivables</t>
  </si>
  <si>
    <t>+ Other operating receivables</t>
  </si>
  <si>
    <t>- Trade payables</t>
  </si>
  <si>
    <t>- Other operating payables</t>
  </si>
  <si>
    <t>Shareholders' equity, group share</t>
  </si>
  <si>
    <t>Contingency and loss provisions</t>
  </si>
  <si>
    <t>Medium- and long-term bank debts</t>
  </si>
  <si>
    <t>+ Bank overdrafts and short-term borrowings</t>
  </si>
  <si>
    <t>Net sales</t>
  </si>
  <si>
    <t>- Cost of sales</t>
  </si>
  <si>
    <t>Gross profit</t>
  </si>
  <si>
    <t>-Selling, general and administrative costs</t>
  </si>
  <si>
    <t>- Depreciation, amortisation and impairment losses</t>
  </si>
  <si>
    <t>-Interest and other finance charges</t>
  </si>
  <si>
    <t>Interest and other finance charges (before tax)</t>
  </si>
  <si>
    <t>+ Nonrecurring items</t>
  </si>
  <si>
    <t>+ Income from Associates</t>
  </si>
  <si>
    <t>- Income tax</t>
  </si>
  <si>
    <t>- Goodwill amortisation</t>
  </si>
  <si>
    <t>- Income attrituable to minority interests</t>
  </si>
  <si>
    <t>Published net profit (group share)</t>
  </si>
  <si>
    <t>Operating profit after tax</t>
  </si>
  <si>
    <t>Gross goodwill</t>
  </si>
  <si>
    <t>Fixed assets (excl. Goodwill)</t>
  </si>
  <si>
    <t>ROCE</t>
  </si>
  <si>
    <t>Leverage</t>
  </si>
  <si>
    <t>Net cost of debt</t>
  </si>
  <si>
    <t>ROCE after tax</t>
  </si>
  <si>
    <t>ROE, group share</t>
  </si>
  <si>
    <t>Groups</t>
  </si>
  <si>
    <t>N</t>
  </si>
  <si>
    <t>Intangibles</t>
  </si>
  <si>
    <t>Tangibles</t>
  </si>
  <si>
    <t>Net bank and other borrowings</t>
  </si>
  <si>
    <t>Exercise 6</t>
  </si>
  <si>
    <t>Exercise 7</t>
  </si>
  <si>
    <t>Present value</t>
  </si>
  <si>
    <t>Rate</t>
  </si>
  <si>
    <t>Length</t>
  </si>
  <si>
    <t>Value received in 3 years</t>
  </si>
  <si>
    <t>Value received</t>
  </si>
  <si>
    <t>Capitalisation factor</t>
  </si>
  <si>
    <t>Money invested today</t>
  </si>
  <si>
    <t>Final value</t>
  </si>
  <si>
    <t>Gross payments</t>
  </si>
  <si>
    <t>Date (year)</t>
  </si>
  <si>
    <t>1. Payment</t>
  </si>
  <si>
    <t>2. Equal annual payments</t>
  </si>
  <si>
    <t>Length (years)</t>
  </si>
  <si>
    <t>Value today</t>
  </si>
  <si>
    <t>Value in 1 year</t>
  </si>
  <si>
    <t>Money capitalised</t>
  </si>
  <si>
    <t>Discounted payments</t>
  </si>
  <si>
    <t>Today</t>
  </si>
  <si>
    <t>In 4 years</t>
  </si>
  <si>
    <t>Discount rate</t>
  </si>
  <si>
    <t>Discounting factor</t>
  </si>
  <si>
    <t>Money invested</t>
  </si>
  <si>
    <t>Exercise 8</t>
  </si>
  <si>
    <t>Exercise 9</t>
  </si>
  <si>
    <t>Exercise 10</t>
  </si>
  <si>
    <t>Exercise 11</t>
  </si>
  <si>
    <t>Exercise 12</t>
  </si>
  <si>
    <t>Exercise 13</t>
  </si>
  <si>
    <t>Exercise 14</t>
  </si>
  <si>
    <t>Exercise 15</t>
  </si>
  <si>
    <t>Multiplicating factor</t>
  </si>
  <si>
    <t>Minimum rate</t>
  </si>
  <si>
    <t>Maximum price today</t>
  </si>
  <si>
    <t>Initial capital</t>
  </si>
  <si>
    <t>Date of investment</t>
  </si>
  <si>
    <t>pieces of silver</t>
  </si>
  <si>
    <t>Length in 2005</t>
  </si>
  <si>
    <t>Exercise 17</t>
  </si>
  <si>
    <t>Exercise 18</t>
  </si>
  <si>
    <t>Income</t>
  </si>
  <si>
    <t>Exercise 19</t>
  </si>
  <si>
    <t>Exercise 20</t>
  </si>
  <si>
    <t>Exercise 21</t>
  </si>
  <si>
    <t>Exercise 22</t>
  </si>
  <si>
    <t>Exercise 23</t>
  </si>
  <si>
    <t>Required return on shares</t>
  </si>
  <si>
    <t>Annual dividends</t>
  </si>
  <si>
    <t>Date of payment</t>
  </si>
  <si>
    <t>Capitalised dividend</t>
  </si>
  <si>
    <t>Sale value</t>
  </si>
  <si>
    <t>Proportional rate over 3 months</t>
  </si>
  <si>
    <t>Yield to maturity</t>
  </si>
  <si>
    <t>Interest rate over 2 periods</t>
  </si>
  <si>
    <t>Length (year)</t>
  </si>
  <si>
    <t>Frequency of the payments</t>
  </si>
  <si>
    <t>Flows</t>
  </si>
  <si>
    <r>
      <t xml:space="preserve">NPV </t>
    </r>
    <r>
      <rPr>
        <i/>
        <sz val="10"/>
        <rFont val="Verdana"/>
        <family val="2"/>
      </rPr>
      <t>Investment A</t>
    </r>
  </si>
  <si>
    <r>
      <t xml:space="preserve">NPV </t>
    </r>
    <r>
      <rPr>
        <i/>
        <sz val="10"/>
        <rFont val="Verdana"/>
        <family val="2"/>
      </rPr>
      <t>Investment B</t>
    </r>
  </si>
  <si>
    <t>Investment A</t>
  </si>
  <si>
    <t>Investment B</t>
  </si>
  <si>
    <t>Bank 1</t>
  </si>
  <si>
    <t>Bank 2</t>
  </si>
  <si>
    <t>Frequency (month)</t>
  </si>
  <si>
    <t>Length (Days)</t>
  </si>
  <si>
    <t>Rate of return</t>
  </si>
  <si>
    <t>Interests</t>
  </si>
  <si>
    <t>Capital depreciation</t>
  </si>
  <si>
    <t>Annual payment</t>
  </si>
  <si>
    <t>Capital still owed</t>
  </si>
  <si>
    <t>Repayment in constant amortisation</t>
  </si>
  <si>
    <t>Repayment in fixed annual instalments</t>
  </si>
  <si>
    <t>Deferred (year)</t>
  </si>
  <si>
    <t>NPV</t>
  </si>
  <si>
    <t>Interests calculated differently</t>
  </si>
  <si>
    <t>Emission rate</t>
  </si>
  <si>
    <t>Repayment rate</t>
  </si>
  <si>
    <t>Interests rate</t>
  </si>
  <si>
    <t>Annual mgt fee</t>
  </si>
  <si>
    <t>Closing fee</t>
  </si>
  <si>
    <t>Pl. commission</t>
  </si>
  <si>
    <t>Flows issuer</t>
  </si>
  <si>
    <t>Flows buyer</t>
  </si>
  <si>
    <t>Value</t>
  </si>
  <si>
    <t>Monthly payment</t>
  </si>
  <si>
    <t>Date (months)</t>
  </si>
  <si>
    <t>Number of monthly payment</t>
  </si>
  <si>
    <t>Yield to maturity (annual)</t>
  </si>
  <si>
    <t>Market value</t>
  </si>
  <si>
    <t>Monthly interest rate</t>
  </si>
  <si>
    <t>Purchase of equipment</t>
  </si>
  <si>
    <t>Setup costs</t>
  </si>
  <si>
    <t>Depreciation over</t>
  </si>
  <si>
    <t>Useful life</t>
  </si>
  <si>
    <t>Residual value</t>
  </si>
  <si>
    <t>Increase of working capital</t>
  </si>
  <si>
    <t>Annual increase of EBITDA</t>
  </si>
  <si>
    <t>years</t>
  </si>
  <si>
    <t>Cash flow schedule</t>
  </si>
  <si>
    <t>Δ EBITDA</t>
  </si>
  <si>
    <t>Δ Working Capital</t>
  </si>
  <si>
    <t>Δ tax</t>
  </si>
  <si>
    <t>Cash flows</t>
  </si>
  <si>
    <t>Depreciation</t>
  </si>
  <si>
    <t>NPV calculation</t>
  </si>
  <si>
    <t>Yield to maturity calculation</t>
  </si>
  <si>
    <t>Purchase of new machine</t>
  </si>
  <si>
    <t>Cost</t>
  </si>
  <si>
    <t>Linear depreciation over 5 years</t>
  </si>
  <si>
    <t>Saving on charges per year</t>
  </si>
  <si>
    <t>Sale of second-hand machine</t>
  </si>
  <si>
    <t>Purchase cost (previous year)</t>
  </si>
  <si>
    <t>Net book value</t>
  </si>
  <si>
    <t>Potential sale price</t>
  </si>
  <si>
    <t>Required rate of return</t>
  </si>
  <si>
    <t>Tax credit on capital losses</t>
  </si>
  <si>
    <t>Cash flows to be discounted</t>
  </si>
  <si>
    <t>Cash flows schedule of the new machine in comparison with the old one</t>
  </si>
  <si>
    <t>Sale of old machine</t>
  </si>
  <si>
    <t>Capital loss</t>
  </si>
  <si>
    <t>Δ depreciation</t>
  </si>
  <si>
    <t>IRR</t>
  </si>
  <si>
    <t>Cumulated and discounted cash flows</t>
  </si>
  <si>
    <t>and not 67,7 as written in the answers p.344</t>
  </si>
  <si>
    <t>Initial outlay</t>
  </si>
  <si>
    <t>Subvention</t>
  </si>
  <si>
    <t>Schedule of cash flows</t>
  </si>
  <si>
    <t>investments</t>
  </si>
  <si>
    <t>Purchase of the new machine</t>
  </si>
  <si>
    <t>Price per unit</t>
  </si>
  <si>
    <t>Subcontractor offer</t>
  </si>
  <si>
    <t>Investment</t>
  </si>
  <si>
    <t>Δ Tax</t>
  </si>
  <si>
    <t>or</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</si>
</sst>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mmmm\-yy"/>
    <numFmt numFmtId="189" formatCode="0.0"/>
    <numFmt numFmtId="190" formatCode="#,##0.00\ _F"/>
    <numFmt numFmtId="191" formatCode="#,##0.0\ _F"/>
    <numFmt numFmtId="192" formatCode="#,##0\ _F"/>
    <numFmt numFmtId="193" formatCode="0.0%"/>
    <numFmt numFmtId="194" formatCode="0.000"/>
    <numFmt numFmtId="195" formatCode="0.0000"/>
    <numFmt numFmtId="196" formatCode="0.00000000"/>
    <numFmt numFmtId="197" formatCode="0.0000000"/>
    <numFmt numFmtId="198" formatCode="0.000000"/>
    <numFmt numFmtId="199" formatCode="0.00000"/>
    <numFmt numFmtId="200" formatCode="#,##0.00_ ;\-#,##0.00\ "/>
    <numFmt numFmtId="201" formatCode="0.000000000"/>
    <numFmt numFmtId="202" formatCode="_-* #,##0.0\ _F_-;\-* #,##0.0\ _F_-;_-* &quot;-&quot;??\ _F_-;_-@_-"/>
    <numFmt numFmtId="203" formatCode="_-* #,##0\ _F_-;\-* #,##0\ _F_-;_-* &quot;-&quot;??\ _F_-;_-@_-"/>
    <numFmt numFmtId="204" formatCode="_-* #,##0.000\ _F_-;\-* #,##0.000\ _F_-;_-* &quot;-&quot;??\ _F_-;_-@_-"/>
    <numFmt numFmtId="205" formatCode="_-* #,##0.0000\ _F_-;\-* #,##0.0000\ _F_-;_-* &quot;-&quot;??\ _F_-;_-@_-"/>
    <numFmt numFmtId="206" formatCode="_-* #,##0.00000\ _F_-;\-* #,##0.00000\ _F_-;_-* &quot;-&quot;??\ _F_-;_-@_-"/>
    <numFmt numFmtId="207" formatCode="_-* #,##0.000000\ _F_-;\-* #,##0.000000\ _F_-;_-* &quot;-&quot;??\ _F_-;_-@_-"/>
    <numFmt numFmtId="208" formatCode="#,##0_ ;\-#,##0\ "/>
    <numFmt numFmtId="209" formatCode="0.000%"/>
    <numFmt numFmtId="210" formatCode="0.0000%"/>
    <numFmt numFmtId="211" formatCode="0.00000%"/>
    <numFmt numFmtId="212" formatCode="#,##0.00\ &quot;F&quot;"/>
    <numFmt numFmtId="213" formatCode="0.000E+00"/>
    <numFmt numFmtId="214" formatCode="0.0E+00"/>
    <numFmt numFmtId="215" formatCode="0E+00"/>
    <numFmt numFmtId="216" formatCode="#,##0.000\ _F"/>
    <numFmt numFmtId="217" formatCode="#,##0\ _€"/>
    <numFmt numFmtId="218" formatCode="#,##0.0\ _€"/>
    <numFmt numFmtId="219" formatCode="#,##0.00\ _€"/>
    <numFmt numFmtId="220" formatCode="0.0000E+00"/>
    <numFmt numFmtId="221" formatCode="#,##0.0"/>
    <numFmt numFmtId="222" formatCode="#,##0_);\(#,##0\);&quot;-&quot;_);@_)"/>
    <numFmt numFmtId="223" formatCode="#,##0.0_);\(#,##0.0\);&quot;-&quot;_);@_)"/>
    <numFmt numFmtId="224" formatCode="0.0&quot; x&quot;"/>
    <numFmt numFmtId="225" formatCode="#,##0.000"/>
  </numFmts>
  <fonts count="59">
    <font>
      <sz val="10"/>
      <name val="Verdana"/>
      <family val="2"/>
    </font>
    <font>
      <sz val="10"/>
      <name val="Arial"/>
      <family val="0"/>
    </font>
    <font>
      <b/>
      <sz val="10"/>
      <name val="Verdana"/>
      <family val="2"/>
    </font>
    <font>
      <b/>
      <sz val="11"/>
      <name val="Verdana"/>
      <family val="2"/>
    </font>
    <font>
      <sz val="8"/>
      <name val="Verdana"/>
      <family val="2"/>
    </font>
    <font>
      <b/>
      <i/>
      <sz val="10"/>
      <name val="Verdana"/>
      <family val="2"/>
    </font>
    <font>
      <sz val="8"/>
      <color indexed="55"/>
      <name val="Verdana"/>
      <family val="2"/>
    </font>
    <font>
      <b/>
      <u val="single"/>
      <sz val="10"/>
      <name val="Verdana"/>
      <family val="2"/>
    </font>
    <font>
      <u val="single"/>
      <sz val="10"/>
      <name val="Verdana"/>
      <family val="2"/>
    </font>
    <font>
      <i/>
      <sz val="10"/>
      <name val="Verdana"/>
      <family val="2"/>
    </font>
    <font>
      <b/>
      <sz val="10"/>
      <color indexed="12"/>
      <name val="Verdana"/>
      <family val="2"/>
    </font>
    <font>
      <b/>
      <sz val="8"/>
      <color indexed="12"/>
      <name val="Verdana"/>
      <family val="2"/>
    </font>
    <font>
      <b/>
      <sz val="8"/>
      <name val="Verdana"/>
      <family val="2"/>
    </font>
    <font>
      <b/>
      <sz val="7"/>
      <name val="Verdana"/>
      <family val="2"/>
    </font>
    <font>
      <sz val="10"/>
      <color indexed="12"/>
      <name val="Verdana"/>
      <family val="2"/>
    </font>
    <font>
      <u val="single"/>
      <sz val="10"/>
      <color indexed="12"/>
      <name val="Verdana"/>
      <family val="2"/>
    </font>
    <font>
      <u val="single"/>
      <sz val="10"/>
      <color indexed="36"/>
      <name val="Verdana"/>
      <family val="2"/>
    </font>
    <font>
      <sz val="10"/>
      <color indexed="55"/>
      <name val="Verdana"/>
      <family val="2"/>
    </font>
    <font>
      <i/>
      <sz val="8"/>
      <name val="Verdana"/>
      <family val="2"/>
    </font>
    <font>
      <b/>
      <sz val="11.25"/>
      <name val="Arial"/>
      <family val="0"/>
    </font>
    <font>
      <b/>
      <sz val="9.5"/>
      <name val="Arial"/>
      <family val="0"/>
    </font>
    <font>
      <sz val="9.5"/>
      <name val="Arial"/>
      <family val="0"/>
    </font>
    <font>
      <sz val="10.25"/>
      <name val="Arial"/>
      <family val="0"/>
    </font>
    <font>
      <b/>
      <sz val="10.25"/>
      <name val="Arial"/>
      <family val="0"/>
    </font>
    <font>
      <b/>
      <sz val="1.75"/>
      <name val="Arial"/>
      <family val="0"/>
    </font>
    <font>
      <b/>
      <sz val="1.5"/>
      <name val="Arial"/>
      <family val="0"/>
    </font>
    <font>
      <sz val="1.5"/>
      <name val="Arial"/>
      <family val="0"/>
    </font>
    <font>
      <b/>
      <u val="single"/>
      <sz val="8"/>
      <name val="Verdana"/>
      <family val="2"/>
    </font>
    <font>
      <sz val="2.5"/>
      <name val="Arial"/>
      <family val="0"/>
    </font>
    <font>
      <b/>
      <sz val="2.5"/>
      <name val="Arial"/>
      <family val="0"/>
    </font>
    <font>
      <i/>
      <u val="single"/>
      <sz val="10"/>
      <name val="Verdana"/>
      <family val="2"/>
    </font>
    <font>
      <i/>
      <sz val="10"/>
      <color indexed="53"/>
      <name val="Verdana"/>
      <family val="2"/>
    </font>
    <font>
      <sz val="9"/>
      <name val="Verdana"/>
      <family val="2"/>
    </font>
    <font>
      <b/>
      <sz val="9"/>
      <name val="Verdana"/>
      <family val="2"/>
    </font>
    <font>
      <sz val="10"/>
      <color indexed="8"/>
      <name val="Verdana"/>
      <family val="2"/>
    </font>
    <font>
      <b/>
      <sz val="14"/>
      <name val="Verdana"/>
      <family val="2"/>
    </font>
    <font>
      <b/>
      <sz val="8"/>
      <color indexed="10"/>
      <name val="Verdana"/>
      <family val="2"/>
    </font>
    <font>
      <sz val="10"/>
      <color indexed="10"/>
      <name val="Verdana"/>
      <family val="2"/>
    </font>
    <font>
      <sz val="11"/>
      <name val="Verdana"/>
      <family val="2"/>
    </font>
    <font>
      <vertAlign val="subscript"/>
      <sz val="10"/>
      <name val="Verdana"/>
      <family val="2"/>
    </font>
    <font>
      <vertAlign val="subscript"/>
      <sz val="8"/>
      <name val="Verdana"/>
      <family val="2"/>
    </font>
    <font>
      <sz val="8"/>
      <color indexed="12"/>
      <name val="Verdana"/>
      <family val="2"/>
    </font>
    <font>
      <b/>
      <sz val="10"/>
      <color indexed="10"/>
      <name val="Verdana"/>
      <family val="2"/>
    </font>
    <font>
      <sz val="8"/>
      <name val="Arial"/>
      <family val="0"/>
    </font>
    <font>
      <b/>
      <sz val="8.25"/>
      <name val="Arial"/>
      <family val="0"/>
    </font>
    <font>
      <sz val="8.25"/>
      <name val="Arial"/>
      <family val="0"/>
    </font>
    <font>
      <sz val="6"/>
      <name val="Arial"/>
      <family val="2"/>
    </font>
    <font>
      <b/>
      <sz val="8"/>
      <name val="Arial"/>
      <family val="0"/>
    </font>
    <font>
      <sz val="4.5"/>
      <name val="Arial"/>
      <family val="2"/>
    </font>
    <font>
      <sz val="5.25"/>
      <name val="Arial"/>
      <family val="2"/>
    </font>
    <font>
      <sz val="5.5"/>
      <name val="Arial"/>
      <family val="2"/>
    </font>
    <font>
      <b/>
      <sz val="8.5"/>
      <name val="Arial"/>
      <family val="0"/>
    </font>
    <font>
      <b/>
      <sz val="10"/>
      <name val="Arial"/>
      <family val="0"/>
    </font>
    <font>
      <sz val="8.5"/>
      <name val="Arial"/>
      <family val="0"/>
    </font>
    <font>
      <sz val="5.75"/>
      <name val="Arial"/>
      <family val="0"/>
    </font>
    <font>
      <b/>
      <sz val="5.75"/>
      <name val="Arial"/>
      <family val="0"/>
    </font>
    <font>
      <u val="single"/>
      <sz val="9.25"/>
      <name val="Arial"/>
      <family val="2"/>
    </font>
    <font>
      <b/>
      <sz val="11.5"/>
      <name val="Arial"/>
      <family val="0"/>
    </font>
    <font>
      <sz val="11.5"/>
      <name val="Arial"/>
      <family val="0"/>
    </font>
  </fonts>
  <fills count="3">
    <fill>
      <patternFill/>
    </fill>
    <fill>
      <patternFill patternType="gray125"/>
    </fill>
    <fill>
      <patternFill patternType="solid">
        <fgColor indexed="22"/>
        <bgColor indexed="64"/>
      </patternFill>
    </fill>
  </fills>
  <borders count="1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2" fontId="31" fillId="0" borderId="0">
      <alignment vertical="top"/>
      <protection/>
    </xf>
    <xf numFmtId="0" fontId="15" fillId="0" borderId="0" applyNumberFormat="0" applyFill="0" applyBorder="0" applyAlignment="0" applyProtection="0"/>
    <xf numFmtId="0" fontId="16"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0" fontId="2" fillId="0" borderId="0" applyNumberFormat="0">
      <alignment vertical="top"/>
      <protection/>
    </xf>
    <xf numFmtId="0" fontId="3" fillId="0" borderId="0">
      <alignment vertical="top"/>
      <protection/>
    </xf>
    <xf numFmtId="0" fontId="30" fillId="0" borderId="0">
      <alignment vertical="top"/>
      <protection/>
    </xf>
    <xf numFmtId="0" fontId="0" fillId="0" borderId="0">
      <alignment vertical="top" wrapText="1"/>
      <protection/>
    </xf>
  </cellStyleXfs>
  <cellXfs count="401">
    <xf numFmtId="0" fontId="0" fillId="0" borderId="0" xfId="0" applyAlignment="1">
      <alignment vertical="top"/>
    </xf>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horizontal="center" vertical="top"/>
    </xf>
    <xf numFmtId="17" fontId="2" fillId="0" borderId="0" xfId="0" applyNumberFormat="1" applyFont="1" applyAlignment="1">
      <alignment horizontal="center" vertical="top"/>
    </xf>
    <xf numFmtId="2" fontId="0" fillId="0" borderId="0" xfId="0" applyNumberFormat="1" applyAlignment="1">
      <alignment vertical="top"/>
    </xf>
    <xf numFmtId="2" fontId="0" fillId="0" borderId="1" xfId="0" applyNumberFormat="1" applyBorder="1" applyAlignment="1">
      <alignment vertical="top" wrapText="1"/>
    </xf>
    <xf numFmtId="2" fontId="0" fillId="0" borderId="2" xfId="0" applyNumberFormat="1" applyBorder="1" applyAlignment="1">
      <alignment vertical="top" wrapText="1"/>
    </xf>
    <xf numFmtId="2" fontId="0" fillId="0" borderId="3" xfId="0" applyNumberFormat="1" applyBorder="1" applyAlignment="1">
      <alignment vertical="top" wrapText="1"/>
    </xf>
    <xf numFmtId="0" fontId="4" fillId="0" borderId="0" xfId="0" applyFont="1" applyAlignment="1">
      <alignment horizontal="left" vertical="top" wrapText="1" indent="1"/>
    </xf>
    <xf numFmtId="2" fontId="4" fillId="0" borderId="2" xfId="0" applyNumberFormat="1" applyFont="1" applyBorder="1" applyAlignment="1">
      <alignment vertical="top" wrapText="1"/>
    </xf>
    <xf numFmtId="2" fontId="4" fillId="0" borderId="0" xfId="0" applyNumberFormat="1" applyFont="1" applyAlignment="1">
      <alignment vertical="top"/>
    </xf>
    <xf numFmtId="0" fontId="4" fillId="0" borderId="0" xfId="0" applyFont="1" applyAlignment="1">
      <alignment vertical="top"/>
    </xf>
    <xf numFmtId="0" fontId="2" fillId="0" borderId="0" xfId="0" applyNumberFormat="1" applyFont="1" applyAlignment="1">
      <alignment horizontal="center" vertical="top"/>
    </xf>
    <xf numFmtId="0" fontId="0" fillId="0" borderId="0" xfId="0" applyFont="1" applyAlignment="1">
      <alignment vertical="top" wrapText="1"/>
    </xf>
    <xf numFmtId="0" fontId="0" fillId="0" borderId="0" xfId="0" applyNumberFormat="1" applyAlignment="1">
      <alignment vertical="top"/>
    </xf>
    <xf numFmtId="2" fontId="0" fillId="0" borderId="1" xfId="0" applyNumberFormat="1" applyBorder="1" applyAlignment="1">
      <alignment vertical="top"/>
    </xf>
    <xf numFmtId="2" fontId="0" fillId="0" borderId="2" xfId="0" applyNumberFormat="1" applyBorder="1" applyAlignment="1">
      <alignment vertical="top"/>
    </xf>
    <xf numFmtId="2" fontId="0" fillId="0" borderId="3" xfId="0" applyNumberFormat="1" applyBorder="1" applyAlignment="1">
      <alignment vertical="top"/>
    </xf>
    <xf numFmtId="0" fontId="3" fillId="0" borderId="0" xfId="24">
      <alignment vertical="top"/>
      <protection/>
    </xf>
    <xf numFmtId="0" fontId="5" fillId="0" borderId="0" xfId="0" applyFont="1" applyAlignment="1">
      <alignment vertical="top"/>
    </xf>
    <xf numFmtId="0" fontId="4" fillId="0" borderId="0" xfId="0" applyFont="1" applyAlignment="1">
      <alignment horizontal="left" vertical="top" indent="1"/>
    </xf>
    <xf numFmtId="190" fontId="0" fillId="0" borderId="0" xfId="0" applyNumberFormat="1" applyAlignment="1">
      <alignment vertical="top"/>
    </xf>
    <xf numFmtId="190" fontId="4" fillId="0" borderId="0" xfId="0" applyNumberFormat="1" applyFont="1" applyAlignment="1">
      <alignment vertical="top"/>
    </xf>
    <xf numFmtId="9" fontId="0" fillId="0" borderId="0" xfId="22" applyAlignment="1">
      <alignment vertical="top"/>
    </xf>
    <xf numFmtId="0" fontId="6" fillId="0" borderId="0" xfId="0" applyFont="1" applyAlignment="1">
      <alignment horizontal="left" vertical="top" indent="1"/>
    </xf>
    <xf numFmtId="190" fontId="6" fillId="0" borderId="0" xfId="0" applyNumberFormat="1" applyFont="1" applyAlignment="1">
      <alignment vertical="top"/>
    </xf>
    <xf numFmtId="0" fontId="6" fillId="0" borderId="0" xfId="0" applyFont="1" applyAlignment="1">
      <alignment vertical="top"/>
    </xf>
    <xf numFmtId="0" fontId="7" fillId="0" borderId="0" xfId="0" applyFont="1" applyAlignment="1">
      <alignment vertical="top" wrapText="1"/>
    </xf>
    <xf numFmtId="0" fontId="0" fillId="0" borderId="0" xfId="0" applyAlignment="1" quotePrefix="1">
      <alignment vertical="top"/>
    </xf>
    <xf numFmtId="0" fontId="7" fillId="0" borderId="0" xfId="0" applyFont="1" applyAlignment="1">
      <alignment vertical="top"/>
    </xf>
    <xf numFmtId="0" fontId="2" fillId="0" borderId="4" xfId="0" applyFont="1" applyBorder="1" applyAlignment="1">
      <alignment vertical="top" wrapText="1"/>
    </xf>
    <xf numFmtId="0" fontId="0" fillId="0" borderId="4" xfId="0" applyBorder="1" applyAlignment="1">
      <alignment vertical="top"/>
    </xf>
    <xf numFmtId="0" fontId="0" fillId="0" borderId="0" xfId="0" applyAlignment="1" quotePrefix="1">
      <alignment vertical="top" wrapText="1"/>
    </xf>
    <xf numFmtId="0" fontId="2" fillId="0" borderId="0" xfId="0" applyFont="1" applyAlignment="1" quotePrefix="1">
      <alignment vertical="top" wrapText="1"/>
    </xf>
    <xf numFmtId="0" fontId="2" fillId="0" borderId="4" xfId="0" applyFont="1" applyBorder="1" applyAlignment="1" quotePrefix="1">
      <alignment vertical="top" wrapText="1"/>
    </xf>
    <xf numFmtId="0" fontId="2" fillId="0" borderId="4" xfId="0" applyFont="1" applyBorder="1" applyAlignment="1" quotePrefix="1">
      <alignment vertical="top"/>
    </xf>
    <xf numFmtId="190" fontId="0" fillId="0" borderId="4" xfId="0" applyNumberFormat="1" applyBorder="1" applyAlignment="1">
      <alignment vertical="top"/>
    </xf>
    <xf numFmtId="190" fontId="0" fillId="0" borderId="0" xfId="0" applyNumberFormat="1" applyAlignment="1">
      <alignment vertical="top" wrapText="1"/>
    </xf>
    <xf numFmtId="190" fontId="2" fillId="0" borderId="0" xfId="0" applyNumberFormat="1" applyFont="1" applyAlignment="1">
      <alignment vertical="top"/>
    </xf>
    <xf numFmtId="0" fontId="3" fillId="0" borderId="0" xfId="24" applyFont="1">
      <alignment vertical="top"/>
      <protection/>
    </xf>
    <xf numFmtId="2" fontId="4" fillId="0" borderId="0" xfId="0" applyNumberFormat="1" applyFont="1" applyBorder="1" applyAlignment="1">
      <alignment vertical="top" wrapText="1"/>
    </xf>
    <xf numFmtId="192" fontId="2" fillId="0" borderId="0" xfId="0" applyNumberFormat="1" applyFont="1" applyAlignment="1">
      <alignment horizontal="center" vertical="top"/>
    </xf>
    <xf numFmtId="190" fontId="4" fillId="0" borderId="0" xfId="0" applyNumberFormat="1" applyFont="1" applyAlignment="1">
      <alignment horizontal="left" vertical="top" wrapText="1" indent="1"/>
    </xf>
    <xf numFmtId="190" fontId="4" fillId="0" borderId="0" xfId="0" applyNumberFormat="1" applyFont="1" applyBorder="1" applyAlignment="1">
      <alignment vertical="top" wrapText="1"/>
    </xf>
    <xf numFmtId="0" fontId="2" fillId="0" borderId="0" xfId="0" applyFont="1" applyAlignment="1" quotePrefix="1">
      <alignment vertical="top"/>
    </xf>
    <xf numFmtId="9" fontId="0" fillId="0" borderId="0" xfId="0" applyNumberFormat="1" applyAlignment="1">
      <alignment vertical="top"/>
    </xf>
    <xf numFmtId="0" fontId="0" fillId="0" borderId="4" xfId="0" applyFont="1" applyBorder="1" applyAlignment="1">
      <alignment vertical="top"/>
    </xf>
    <xf numFmtId="0" fontId="0" fillId="0" borderId="5" xfId="0" applyBorder="1" applyAlignment="1">
      <alignment vertical="top"/>
    </xf>
    <xf numFmtId="190" fontId="0" fillId="0" borderId="0" xfId="0" applyNumberFormat="1" applyFont="1" applyAlignment="1">
      <alignment vertical="top"/>
    </xf>
    <xf numFmtId="190" fontId="0" fillId="0" borderId="5" xfId="0" applyNumberFormat="1" applyBorder="1" applyAlignment="1">
      <alignment vertical="top"/>
    </xf>
    <xf numFmtId="190" fontId="11" fillId="0" borderId="0" xfId="0" applyNumberFormat="1" applyFont="1" applyAlignment="1">
      <alignment vertical="top"/>
    </xf>
    <xf numFmtId="0" fontId="2" fillId="0" borderId="4" xfId="0" applyFont="1" applyBorder="1" applyAlignment="1">
      <alignment horizontal="center" vertical="top"/>
    </xf>
    <xf numFmtId="0" fontId="0" fillId="0" borderId="6" xfId="0" applyBorder="1" applyAlignment="1">
      <alignment vertical="top"/>
    </xf>
    <xf numFmtId="0" fontId="0" fillId="0" borderId="0" xfId="0" applyBorder="1" applyAlignment="1">
      <alignment vertical="top"/>
    </xf>
    <xf numFmtId="0" fontId="2" fillId="0" borderId="0" xfId="0" applyFont="1" applyBorder="1" applyAlignment="1">
      <alignment vertical="top"/>
    </xf>
    <xf numFmtId="0" fontId="2" fillId="0" borderId="4" xfId="0" applyFont="1" applyBorder="1" applyAlignment="1">
      <alignment vertical="top"/>
    </xf>
    <xf numFmtId="190" fontId="0" fillId="0" borderId="0" xfId="0" applyNumberFormat="1" applyBorder="1" applyAlignment="1">
      <alignment vertical="top"/>
    </xf>
    <xf numFmtId="0" fontId="0" fillId="0" borderId="7" xfId="0" applyBorder="1" applyAlignment="1">
      <alignment vertical="top"/>
    </xf>
    <xf numFmtId="11" fontId="0" fillId="0" borderId="0" xfId="0" applyNumberFormat="1" applyAlignment="1">
      <alignment vertical="top"/>
    </xf>
    <xf numFmtId="0" fontId="0" fillId="0" borderId="8" xfId="0" applyBorder="1" applyAlignment="1">
      <alignment vertical="top"/>
    </xf>
    <xf numFmtId="0" fontId="2" fillId="0" borderId="9" xfId="0" applyFont="1" applyBorder="1" applyAlignment="1">
      <alignment horizontal="center" vertical="top"/>
    </xf>
    <xf numFmtId="192" fontId="0" fillId="0" borderId="0" xfId="0" applyNumberFormat="1" applyAlignment="1">
      <alignment vertical="top"/>
    </xf>
    <xf numFmtId="0" fontId="4" fillId="0" borderId="0" xfId="0" applyFont="1" applyAlignment="1">
      <alignment horizontal="center" vertical="top" wrapText="1"/>
    </xf>
    <xf numFmtId="192" fontId="2" fillId="0" borderId="0" xfId="0" applyNumberFormat="1" applyFont="1" applyAlignment="1">
      <alignment vertical="top"/>
    </xf>
    <xf numFmtId="0" fontId="0" fillId="0" borderId="0" xfId="0" applyFont="1" applyAlignment="1">
      <alignment vertical="top"/>
    </xf>
    <xf numFmtId="193" fontId="0" fillId="0" borderId="0" xfId="22" applyNumberFormat="1" applyAlignment="1">
      <alignment vertical="top"/>
    </xf>
    <xf numFmtId="191" fontId="0" fillId="0" borderId="0" xfId="0" applyNumberFormat="1" applyAlignment="1">
      <alignment vertical="top"/>
    </xf>
    <xf numFmtId="192" fontId="2" fillId="0" borderId="4" xfId="0" applyNumberFormat="1" applyFont="1" applyBorder="1" applyAlignment="1">
      <alignment vertical="top"/>
    </xf>
    <xf numFmtId="0" fontId="2" fillId="0" borderId="0" xfId="0" applyFont="1" applyBorder="1" applyAlignment="1">
      <alignment horizontal="center" vertical="top"/>
    </xf>
    <xf numFmtId="191" fontId="4" fillId="0" borderId="0" xfId="0" applyNumberFormat="1" applyFont="1" applyAlignment="1">
      <alignment vertical="top"/>
    </xf>
    <xf numFmtId="191" fontId="0" fillId="0" borderId="4" xfId="0" applyNumberFormat="1" applyBorder="1" applyAlignment="1">
      <alignment vertical="top"/>
    </xf>
    <xf numFmtId="191" fontId="0" fillId="0" borderId="0" xfId="0" applyNumberFormat="1" applyFill="1" applyBorder="1" applyAlignment="1">
      <alignment vertical="top"/>
    </xf>
    <xf numFmtId="0" fontId="12" fillId="0" borderId="0" xfId="0" applyFont="1" applyAlignment="1">
      <alignment horizontal="center" vertical="top" wrapText="1"/>
    </xf>
    <xf numFmtId="189" fontId="0" fillId="0" borderId="0" xfId="0" applyNumberFormat="1" applyAlignment="1">
      <alignment vertical="top"/>
    </xf>
    <xf numFmtId="0" fontId="4" fillId="0" borderId="0" xfId="0" applyNumberFormat="1" applyFont="1" applyAlignment="1">
      <alignment vertical="top"/>
    </xf>
    <xf numFmtId="0" fontId="2" fillId="0" borderId="0" xfId="0" applyFont="1" applyAlignment="1">
      <alignment horizontal="right" vertical="top"/>
    </xf>
    <xf numFmtId="0" fontId="4" fillId="0" borderId="0" xfId="0" applyFont="1" applyAlignment="1">
      <alignment horizontal="center" vertical="top"/>
    </xf>
    <xf numFmtId="9" fontId="4" fillId="0" borderId="0" xfId="22" applyFont="1" applyAlignment="1">
      <alignment vertical="top"/>
    </xf>
    <xf numFmtId="9" fontId="0" fillId="0" borderId="4" xfId="22" applyBorder="1" applyAlignment="1">
      <alignment vertical="top"/>
    </xf>
    <xf numFmtId="0" fontId="10" fillId="0" borderId="0" xfId="0" applyFont="1" applyAlignment="1">
      <alignment vertical="top"/>
    </xf>
    <xf numFmtId="0" fontId="13" fillId="0" borderId="0" xfId="0" applyFont="1" applyAlignment="1">
      <alignment horizontal="center" vertical="top" wrapText="1"/>
    </xf>
    <xf numFmtId="10" fontId="0" fillId="0" borderId="0" xfId="0" applyNumberFormat="1" applyAlignment="1">
      <alignment vertical="top"/>
    </xf>
    <xf numFmtId="10" fontId="0" fillId="0" borderId="0" xfId="22" applyNumberFormat="1" applyAlignment="1">
      <alignment vertical="top"/>
    </xf>
    <xf numFmtId="0" fontId="9" fillId="0" borderId="0" xfId="0" applyFont="1" applyAlignment="1">
      <alignment vertical="top"/>
    </xf>
    <xf numFmtId="191" fontId="9" fillId="0" borderId="0" xfId="0" applyNumberFormat="1" applyFont="1" applyAlignment="1">
      <alignment vertical="top"/>
    </xf>
    <xf numFmtId="193" fontId="0" fillId="0" borderId="0" xfId="0" applyNumberFormat="1" applyAlignment="1">
      <alignment vertical="top"/>
    </xf>
    <xf numFmtId="10" fontId="2" fillId="0" borderId="0" xfId="0" applyNumberFormat="1" applyFont="1" applyAlignment="1">
      <alignment vertical="top"/>
    </xf>
    <xf numFmtId="2" fontId="0" fillId="0" borderId="4" xfId="18" applyNumberFormat="1" applyBorder="1" applyAlignment="1">
      <alignment vertical="top"/>
    </xf>
    <xf numFmtId="0" fontId="2" fillId="0" borderId="9" xfId="0" applyFont="1" applyBorder="1" applyAlignment="1">
      <alignment vertical="top"/>
    </xf>
    <xf numFmtId="191" fontId="2" fillId="0" borderId="4" xfId="0" applyNumberFormat="1" applyFont="1" applyBorder="1" applyAlignment="1">
      <alignment vertical="top"/>
    </xf>
    <xf numFmtId="191" fontId="2" fillId="0" borderId="0" xfId="0" applyNumberFormat="1" applyFont="1" applyAlignment="1">
      <alignment vertical="top"/>
    </xf>
    <xf numFmtId="191" fontId="0" fillId="0" borderId="0" xfId="0" applyNumberFormat="1" applyFont="1" applyAlignment="1">
      <alignment vertical="top"/>
    </xf>
    <xf numFmtId="191" fontId="2" fillId="0" borderId="9" xfId="0" applyNumberFormat="1" applyFont="1" applyFill="1" applyBorder="1" applyAlignment="1">
      <alignment vertical="top"/>
    </xf>
    <xf numFmtId="191" fontId="0" fillId="0" borderId="0" xfId="0" applyNumberFormat="1" applyFont="1" applyFill="1" applyBorder="1" applyAlignment="1">
      <alignment vertical="top"/>
    </xf>
    <xf numFmtId="191" fontId="2" fillId="0" borderId="4" xfId="0" applyNumberFormat="1" applyFont="1" applyFill="1" applyBorder="1" applyAlignment="1">
      <alignment vertical="top"/>
    </xf>
    <xf numFmtId="191" fontId="0" fillId="0" borderId="4" xfId="0" applyNumberFormat="1" applyFill="1" applyBorder="1" applyAlignment="1">
      <alignment vertical="top"/>
    </xf>
    <xf numFmtId="0" fontId="0" fillId="0" borderId="0" xfId="0" applyAlignment="1">
      <alignment horizontal="right" vertical="top"/>
    </xf>
    <xf numFmtId="10" fontId="2" fillId="0" borderId="0" xfId="22" applyNumberFormat="1" applyFont="1" applyAlignment="1">
      <alignment vertical="top"/>
    </xf>
    <xf numFmtId="2" fontId="0" fillId="0" borderId="4" xfId="0" applyNumberFormat="1" applyBorder="1" applyAlignment="1">
      <alignment vertical="top"/>
    </xf>
    <xf numFmtId="194" fontId="0" fillId="0" borderId="0" xfId="0" applyNumberFormat="1" applyAlignment="1">
      <alignment vertical="top"/>
    </xf>
    <xf numFmtId="0" fontId="3" fillId="0" borderId="0" xfId="24" applyFont="1" applyAlignment="1">
      <alignment vertical="top"/>
      <protection/>
    </xf>
    <xf numFmtId="0" fontId="2" fillId="0" borderId="8" xfId="0" applyFont="1" applyBorder="1" applyAlignment="1">
      <alignment vertical="top"/>
    </xf>
    <xf numFmtId="9" fontId="0" fillId="0" borderId="0" xfId="0" applyNumberFormat="1" applyBorder="1" applyAlignment="1">
      <alignment vertical="top"/>
    </xf>
    <xf numFmtId="191" fontId="0" fillId="0" borderId="0" xfId="0" applyNumberFormat="1" applyBorder="1" applyAlignment="1">
      <alignment vertical="top"/>
    </xf>
    <xf numFmtId="0" fontId="0" fillId="0" borderId="0" xfId="0" applyAlignment="1">
      <alignment horizontal="center" vertical="top"/>
    </xf>
    <xf numFmtId="9" fontId="0" fillId="0" borderId="0" xfId="22" applyAlignment="1">
      <alignment horizontal="center" vertical="top"/>
    </xf>
    <xf numFmtId="1" fontId="0" fillId="0" borderId="0" xfId="0" applyNumberFormat="1" applyAlignment="1">
      <alignment vertical="top"/>
    </xf>
    <xf numFmtId="179" fontId="0" fillId="0" borderId="0" xfId="18" applyAlignment="1">
      <alignment vertical="top"/>
    </xf>
    <xf numFmtId="0" fontId="0" fillId="0" borderId="0" xfId="18" applyNumberFormat="1" applyAlignment="1">
      <alignment vertical="top"/>
    </xf>
    <xf numFmtId="209" fontId="0" fillId="0" borderId="0" xfId="22" applyNumberFormat="1" applyAlignment="1">
      <alignment vertical="top"/>
    </xf>
    <xf numFmtId="210" fontId="0" fillId="0" borderId="0" xfId="22" applyNumberFormat="1" applyAlignment="1">
      <alignment vertical="top"/>
    </xf>
    <xf numFmtId="0" fontId="6" fillId="0" borderId="0" xfId="0" applyFont="1" applyAlignment="1">
      <alignment horizontal="center" vertical="top" wrapText="1"/>
    </xf>
    <xf numFmtId="190" fontId="17" fillId="0" borderId="0" xfId="0" applyNumberFormat="1" applyFont="1" applyAlignment="1">
      <alignment vertical="top"/>
    </xf>
    <xf numFmtId="0" fontId="0" fillId="0" borderId="0" xfId="0" applyFont="1" applyAlignment="1">
      <alignment horizontal="center" vertical="top"/>
    </xf>
    <xf numFmtId="10" fontId="4" fillId="0" borderId="0" xfId="22" applyNumberFormat="1" applyFont="1" applyAlignment="1">
      <alignment vertical="top"/>
    </xf>
    <xf numFmtId="193" fontId="2" fillId="0" borderId="0" xfId="22" applyNumberFormat="1" applyFont="1" applyAlignment="1">
      <alignment vertical="top"/>
    </xf>
    <xf numFmtId="0" fontId="8" fillId="0" borderId="0" xfId="0" applyFont="1" applyAlignment="1">
      <alignment vertical="top"/>
    </xf>
    <xf numFmtId="179" fontId="0" fillId="0" borderId="5" xfId="18" applyBorder="1" applyAlignment="1">
      <alignment vertical="top"/>
    </xf>
    <xf numFmtId="193" fontId="0" fillId="0" borderId="5" xfId="0" applyNumberFormat="1" applyBorder="1" applyAlignment="1">
      <alignment vertical="top"/>
    </xf>
    <xf numFmtId="0" fontId="0" fillId="0" borderId="5" xfId="0" applyBorder="1" applyAlignment="1">
      <alignment horizontal="center" vertical="top"/>
    </xf>
    <xf numFmtId="0" fontId="4" fillId="0" borderId="4" xfId="0" applyFont="1" applyBorder="1" applyAlignment="1">
      <alignment horizontal="center" vertical="top" wrapText="1"/>
    </xf>
    <xf numFmtId="0" fontId="4" fillId="0" borderId="8" xfId="0" applyFont="1" applyBorder="1" applyAlignment="1">
      <alignment horizontal="center" vertical="top" wrapText="1"/>
    </xf>
    <xf numFmtId="203" fontId="0" fillId="0" borderId="0" xfId="18" applyNumberFormat="1" applyAlignment="1">
      <alignment vertical="top"/>
    </xf>
    <xf numFmtId="203" fontId="2" fillId="0" borderId="0" xfId="0" applyNumberFormat="1" applyFont="1" applyAlignment="1">
      <alignment vertical="top"/>
    </xf>
    <xf numFmtId="189" fontId="2" fillId="0" borderId="0" xfId="0" applyNumberFormat="1" applyFont="1" applyAlignment="1">
      <alignment vertical="top"/>
    </xf>
    <xf numFmtId="0" fontId="0" fillId="0" borderId="4" xfId="0" applyBorder="1" applyAlignment="1">
      <alignment horizontal="center" vertical="top"/>
    </xf>
    <xf numFmtId="0" fontId="0" fillId="0" borderId="8" xfId="0" applyBorder="1" applyAlignment="1">
      <alignment horizontal="center" vertical="top"/>
    </xf>
    <xf numFmtId="0" fontId="0" fillId="0" borderId="4" xfId="0" applyBorder="1" applyAlignment="1">
      <alignment vertical="top" wrapText="1"/>
    </xf>
    <xf numFmtId="0" fontId="0" fillId="0" borderId="0" xfId="0" applyFill="1" applyBorder="1" applyAlignment="1">
      <alignment vertical="top" wrapText="1"/>
    </xf>
    <xf numFmtId="209" fontId="0" fillId="0" borderId="0" xfId="0" applyNumberFormat="1" applyAlignment="1">
      <alignment vertical="top"/>
    </xf>
    <xf numFmtId="210" fontId="2" fillId="0" borderId="0" xfId="22" applyNumberFormat="1" applyFont="1" applyAlignment="1">
      <alignment vertical="top"/>
    </xf>
    <xf numFmtId="10" fontId="0" fillId="0" borderId="7" xfId="0" applyNumberFormat="1" applyBorder="1" applyAlignment="1">
      <alignment vertical="top"/>
    </xf>
    <xf numFmtId="2" fontId="2" fillId="0" borderId="0" xfId="0" applyNumberFormat="1" applyFont="1" applyAlignment="1">
      <alignment vertical="top"/>
    </xf>
    <xf numFmtId="0" fontId="0" fillId="0" borderId="10" xfId="0" applyBorder="1" applyAlignment="1">
      <alignment vertical="top"/>
    </xf>
    <xf numFmtId="193" fontId="2" fillId="0" borderId="0" xfId="0" applyNumberFormat="1" applyFont="1" applyAlignment="1">
      <alignment vertical="top"/>
    </xf>
    <xf numFmtId="10" fontId="0" fillId="0" borderId="5" xfId="0" applyNumberFormat="1" applyBorder="1" applyAlignment="1">
      <alignment vertical="top"/>
    </xf>
    <xf numFmtId="9" fontId="0" fillId="0" borderId="5" xfId="0" applyNumberFormat="1" applyBorder="1" applyAlignment="1">
      <alignment vertical="top"/>
    </xf>
    <xf numFmtId="179" fontId="0" fillId="0" borderId="0" xfId="18" applyFont="1" applyAlignment="1">
      <alignment vertical="top"/>
    </xf>
    <xf numFmtId="193" fontId="0" fillId="0" borderId="0" xfId="0" applyNumberFormat="1" applyFont="1" applyAlignment="1">
      <alignment vertical="top"/>
    </xf>
    <xf numFmtId="189" fontId="0" fillId="0" borderId="0" xfId="0" applyNumberFormat="1" applyFont="1" applyAlignment="1">
      <alignment vertical="top"/>
    </xf>
    <xf numFmtId="10" fontId="0" fillId="0" borderId="0" xfId="0" applyNumberFormat="1" applyFont="1" applyAlignment="1">
      <alignment vertical="top"/>
    </xf>
    <xf numFmtId="191" fontId="10" fillId="0" borderId="0" xfId="0" applyNumberFormat="1" applyFont="1" applyAlignment="1">
      <alignment vertical="top"/>
    </xf>
    <xf numFmtId="0" fontId="18" fillId="0" borderId="0" xfId="0" applyFont="1" applyAlignment="1">
      <alignment horizontal="left" vertical="top"/>
    </xf>
    <xf numFmtId="10" fontId="0" fillId="0" borderId="0" xfId="22" applyNumberFormat="1" applyFont="1" applyAlignment="1">
      <alignment vertical="top"/>
    </xf>
    <xf numFmtId="192" fontId="4" fillId="0" borderId="0" xfId="0" applyNumberFormat="1" applyFont="1" applyAlignment="1">
      <alignment vertical="top"/>
    </xf>
    <xf numFmtId="0" fontId="4" fillId="0" borderId="4" xfId="0" applyFont="1" applyBorder="1" applyAlignment="1">
      <alignment horizontal="left" vertical="top" indent="1"/>
    </xf>
    <xf numFmtId="193" fontId="4" fillId="0" borderId="4" xfId="0" applyNumberFormat="1" applyFont="1" applyBorder="1" applyAlignment="1">
      <alignment vertical="top"/>
    </xf>
    <xf numFmtId="192" fontId="0" fillId="0" borderId="4" xfId="0" applyNumberFormat="1" applyBorder="1" applyAlignment="1">
      <alignment vertical="top"/>
    </xf>
    <xf numFmtId="193" fontId="0" fillId="0" borderId="0" xfId="0" applyNumberFormat="1" applyBorder="1" applyAlignment="1">
      <alignment vertical="top"/>
    </xf>
    <xf numFmtId="10" fontId="0" fillId="0" borderId="0" xfId="0" applyNumberFormat="1" applyBorder="1" applyAlignment="1">
      <alignment vertical="top"/>
    </xf>
    <xf numFmtId="179" fontId="0" fillId="0" borderId="0" xfId="0" applyNumberFormat="1" applyAlignment="1">
      <alignment vertical="top"/>
    </xf>
    <xf numFmtId="189" fontId="0" fillId="0" borderId="4" xfId="0" applyNumberFormat="1" applyBorder="1" applyAlignment="1">
      <alignment vertical="top"/>
    </xf>
    <xf numFmtId="0" fontId="30" fillId="0" borderId="0" xfId="25" applyFont="1">
      <alignment vertical="top"/>
      <protection/>
    </xf>
    <xf numFmtId="0" fontId="30" fillId="0" borderId="0" xfId="25">
      <alignment vertical="top"/>
      <protection/>
    </xf>
    <xf numFmtId="192" fontId="31" fillId="0" borderId="0" xfId="15">
      <alignment vertical="top"/>
      <protection/>
    </xf>
    <xf numFmtId="192" fontId="31" fillId="0" borderId="0" xfId="15" applyNumberFormat="1">
      <alignment vertical="top"/>
      <protection/>
    </xf>
    <xf numFmtId="0" fontId="2" fillId="0" borderId="0" xfId="23">
      <alignment vertical="top"/>
      <protection/>
    </xf>
    <xf numFmtId="203" fontId="2" fillId="0" borderId="0" xfId="23" applyNumberFormat="1">
      <alignment vertical="top"/>
      <protection/>
    </xf>
    <xf numFmtId="9" fontId="0" fillId="0" borderId="7" xfId="0" applyNumberFormat="1" applyBorder="1" applyAlignment="1">
      <alignment vertical="top"/>
    </xf>
    <xf numFmtId="0" fontId="2" fillId="0" borderId="7" xfId="23" applyBorder="1">
      <alignment vertical="top"/>
      <protection/>
    </xf>
    <xf numFmtId="0" fontId="4" fillId="0" borderId="4" xfId="0" applyFont="1" applyBorder="1" applyAlignment="1">
      <alignment horizontal="center" vertical="top"/>
    </xf>
    <xf numFmtId="203" fontId="0" fillId="0" borderId="4" xfId="18" applyNumberFormat="1" applyBorder="1" applyAlignment="1">
      <alignment vertical="top"/>
    </xf>
    <xf numFmtId="192" fontId="31" fillId="0" borderId="4" xfId="15" applyNumberFormat="1" applyBorder="1">
      <alignment vertical="top"/>
      <protection/>
    </xf>
    <xf numFmtId="203" fontId="0" fillId="0" borderId="0" xfId="0" applyNumberFormat="1" applyAlignment="1">
      <alignment vertical="top"/>
    </xf>
    <xf numFmtId="2" fontId="0" fillId="0" borderId="5" xfId="0" applyNumberFormat="1" applyBorder="1" applyAlignment="1">
      <alignment vertical="top"/>
    </xf>
    <xf numFmtId="0" fontId="2" fillId="0" borderId="0" xfId="0" applyFont="1" applyFill="1" applyBorder="1" applyAlignment="1">
      <alignment vertical="top" wrapText="1"/>
    </xf>
    <xf numFmtId="0" fontId="0" fillId="0" borderId="0" xfId="0" applyFont="1" applyFill="1" applyBorder="1" applyAlignment="1">
      <alignment vertical="top" wrapText="1"/>
    </xf>
    <xf numFmtId="2" fontId="0" fillId="0" borderId="8" xfId="0" applyNumberFormat="1" applyBorder="1" applyAlignment="1">
      <alignment vertical="top"/>
    </xf>
    <xf numFmtId="2" fontId="0" fillId="0" borderId="0" xfId="0" applyNumberFormat="1" applyBorder="1" applyAlignment="1">
      <alignment vertical="top"/>
    </xf>
    <xf numFmtId="2" fontId="0" fillId="0" borderId="11" xfId="0" applyNumberFormat="1" applyBorder="1" applyAlignment="1">
      <alignment vertical="top"/>
    </xf>
    <xf numFmtId="9" fontId="2" fillId="0" borderId="0" xfId="22" applyFont="1" applyAlignment="1">
      <alignment vertical="top"/>
    </xf>
    <xf numFmtId="2" fontId="0" fillId="0" borderId="0" xfId="0" applyNumberFormat="1" applyFont="1" applyAlignment="1">
      <alignment vertical="top"/>
    </xf>
    <xf numFmtId="0" fontId="0" fillId="0" borderId="6" xfId="0" applyBorder="1" applyAlignment="1">
      <alignment vertical="top" wrapText="1"/>
    </xf>
    <xf numFmtId="0" fontId="0" fillId="0" borderId="7" xfId="0" applyBorder="1" applyAlignment="1">
      <alignment vertical="top" wrapText="1"/>
    </xf>
    <xf numFmtId="0" fontId="0" fillId="0" borderId="0" xfId="0" applyBorder="1" applyAlignment="1">
      <alignment vertical="top" wrapText="1"/>
    </xf>
    <xf numFmtId="190" fontId="0" fillId="0" borderId="0" xfId="0" applyNumberFormat="1" applyAlignment="1" quotePrefix="1">
      <alignment vertical="top"/>
    </xf>
    <xf numFmtId="0" fontId="0" fillId="0" borderId="0" xfId="26">
      <alignment vertical="top" wrapText="1"/>
      <protection/>
    </xf>
    <xf numFmtId="0" fontId="0" fillId="0" borderId="0" xfId="26" applyFont="1">
      <alignment vertical="top" wrapText="1"/>
      <protection/>
    </xf>
    <xf numFmtId="0" fontId="0" fillId="0" borderId="2" xfId="26" applyBorder="1">
      <alignment vertical="top" wrapText="1"/>
      <protection/>
    </xf>
    <xf numFmtId="9" fontId="0" fillId="0" borderId="2" xfId="0" applyNumberFormat="1" applyBorder="1" applyAlignment="1">
      <alignment vertical="top"/>
    </xf>
    <xf numFmtId="190" fontId="0" fillId="0" borderId="2" xfId="0" applyNumberFormat="1" applyBorder="1" applyAlignment="1">
      <alignment vertical="top"/>
    </xf>
    <xf numFmtId="0" fontId="2" fillId="0" borderId="0" xfId="26" applyFont="1">
      <alignment vertical="top" wrapText="1"/>
      <protection/>
    </xf>
    <xf numFmtId="10" fontId="0" fillId="0" borderId="2" xfId="26" applyNumberFormat="1" applyBorder="1">
      <alignment vertical="top" wrapText="1"/>
      <protection/>
    </xf>
    <xf numFmtId="2" fontId="2" fillId="0" borderId="11" xfId="0" applyNumberFormat="1" applyFont="1" applyBorder="1" applyAlignment="1">
      <alignment vertical="top"/>
    </xf>
    <xf numFmtId="0" fontId="0" fillId="0" borderId="7" xfId="26" applyBorder="1">
      <alignment vertical="top" wrapText="1"/>
      <protection/>
    </xf>
    <xf numFmtId="192" fontId="2" fillId="0" borderId="0" xfId="0" applyNumberFormat="1" applyFont="1" applyAlignment="1" quotePrefix="1">
      <alignment vertical="top"/>
    </xf>
    <xf numFmtId="0" fontId="0" fillId="0" borderId="0" xfId="26" applyFont="1" applyFill="1" applyBorder="1">
      <alignment vertical="top" wrapText="1"/>
      <protection/>
    </xf>
    <xf numFmtId="0" fontId="0" fillId="0" borderId="4" xfId="26" applyBorder="1">
      <alignment vertical="top" wrapText="1"/>
      <protection/>
    </xf>
    <xf numFmtId="0" fontId="0" fillId="0" borderId="0" xfId="26" applyFont="1" applyBorder="1">
      <alignment vertical="top" wrapText="1"/>
      <protection/>
    </xf>
    <xf numFmtId="0" fontId="2" fillId="0" borderId="0" xfId="26" applyFont="1" applyFill="1" applyBorder="1">
      <alignment vertical="top" wrapText="1"/>
      <protection/>
    </xf>
    <xf numFmtId="10" fontId="0" fillId="0" borderId="11" xfId="22" applyNumberFormat="1" applyBorder="1" applyAlignment="1">
      <alignment vertical="top"/>
    </xf>
    <xf numFmtId="10" fontId="0" fillId="0" borderId="5" xfId="22" applyNumberFormat="1" applyBorder="1" applyAlignment="1">
      <alignment vertical="top"/>
    </xf>
    <xf numFmtId="10" fontId="2" fillId="0" borderId="5" xfId="22" applyNumberFormat="1" applyFont="1" applyBorder="1" applyAlignment="1">
      <alignment vertical="top"/>
    </xf>
    <xf numFmtId="193" fontId="0" fillId="0" borderId="0" xfId="22" applyNumberFormat="1" applyFont="1" applyAlignment="1">
      <alignment vertical="top"/>
    </xf>
    <xf numFmtId="0" fontId="4" fillId="0" borderId="0" xfId="26" applyFont="1" applyAlignment="1">
      <alignment horizontal="center" vertical="top" wrapText="1"/>
      <protection/>
    </xf>
    <xf numFmtId="193" fontId="4" fillId="0" borderId="0" xfId="22" applyNumberFormat="1" applyFont="1" applyAlignment="1">
      <alignment vertical="top"/>
    </xf>
    <xf numFmtId="0" fontId="4" fillId="0" borderId="0" xfId="0" applyFont="1" applyAlignment="1">
      <alignment vertical="top" wrapText="1"/>
    </xf>
    <xf numFmtId="9" fontId="2" fillId="0" borderId="0" xfId="0" applyNumberFormat="1" applyFont="1" applyAlignment="1">
      <alignment vertical="top"/>
    </xf>
    <xf numFmtId="211" fontId="0" fillId="0" borderId="0" xfId="22" applyNumberFormat="1" applyAlignment="1">
      <alignment vertical="top"/>
    </xf>
    <xf numFmtId="0" fontId="0" fillId="0" borderId="4" xfId="26" applyFont="1" applyBorder="1">
      <alignment vertical="top" wrapText="1"/>
      <protection/>
    </xf>
    <xf numFmtId="193" fontId="14" fillId="0" borderId="0" xfId="22" applyNumberFormat="1" applyFont="1" applyAlignment="1">
      <alignment vertical="top"/>
    </xf>
    <xf numFmtId="0" fontId="2" fillId="0" borderId="2" xfId="26" applyFont="1" applyBorder="1" applyAlignment="1">
      <alignment horizontal="center" vertical="top" wrapText="1"/>
      <protection/>
    </xf>
    <xf numFmtId="217" fontId="0" fillId="0" borderId="0" xfId="0" applyNumberFormat="1" applyAlignment="1">
      <alignment vertical="top"/>
    </xf>
    <xf numFmtId="217" fontId="32" fillId="0" borderId="0" xfId="0" applyNumberFormat="1" applyFont="1" applyAlignment="1">
      <alignment vertical="top"/>
    </xf>
    <xf numFmtId="217" fontId="32" fillId="0" borderId="0" xfId="0" applyNumberFormat="1" applyFont="1" applyAlignment="1">
      <alignment horizontal="center" vertical="top" wrapText="1"/>
    </xf>
    <xf numFmtId="0" fontId="32" fillId="0" borderId="0" xfId="0" applyFont="1" applyAlignment="1">
      <alignment vertical="top" wrapText="1"/>
    </xf>
    <xf numFmtId="218" fontId="0" fillId="0" borderId="0" xfId="0" applyNumberFormat="1" applyAlignment="1">
      <alignment vertical="top"/>
    </xf>
    <xf numFmtId="0" fontId="0" fillId="0" borderId="0" xfId="26" applyFont="1" applyAlignment="1">
      <alignment vertical="top"/>
      <protection/>
    </xf>
    <xf numFmtId="217" fontId="32" fillId="0" borderId="0" xfId="0" applyNumberFormat="1" applyFont="1" applyAlignment="1">
      <alignment vertical="top" wrapText="1"/>
    </xf>
    <xf numFmtId="219" fontId="32" fillId="0" borderId="0" xfId="0" applyNumberFormat="1" applyFont="1" applyAlignment="1">
      <alignment vertical="top" wrapText="1"/>
    </xf>
    <xf numFmtId="193" fontId="32" fillId="0" borderId="0" xfId="22" applyNumberFormat="1" applyFont="1" applyAlignment="1">
      <alignment vertical="top" wrapText="1"/>
    </xf>
    <xf numFmtId="0" fontId="0" fillId="0" borderId="0" xfId="0" applyAlignment="1">
      <alignment horizontal="center" vertical="top" wrapText="1"/>
    </xf>
    <xf numFmtId="195" fontId="0" fillId="0" borderId="0" xfId="0" applyNumberFormat="1" applyAlignment="1">
      <alignment vertical="top"/>
    </xf>
    <xf numFmtId="0" fontId="0" fillId="0" borderId="4" xfId="0" applyBorder="1" applyAlignment="1" quotePrefix="1">
      <alignment vertical="top"/>
    </xf>
    <xf numFmtId="209" fontId="0" fillId="0" borderId="0" xfId="22" applyNumberFormat="1" applyFont="1" applyAlignment="1">
      <alignment vertical="top"/>
    </xf>
    <xf numFmtId="10" fontId="4" fillId="0" borderId="0" xfId="0" applyNumberFormat="1" applyFont="1" applyAlignment="1">
      <alignment vertical="top"/>
    </xf>
    <xf numFmtId="217" fontId="4" fillId="0" borderId="0" xfId="0" applyNumberFormat="1" applyFont="1" applyAlignment="1">
      <alignment vertical="top" wrapText="1"/>
    </xf>
    <xf numFmtId="0" fontId="0" fillId="0" borderId="0" xfId="0" applyFont="1" applyAlignment="1" quotePrefix="1">
      <alignment vertical="top" wrapText="1"/>
    </xf>
    <xf numFmtId="209" fontId="4" fillId="0" borderId="0" xfId="22" applyNumberFormat="1" applyFont="1" applyAlignment="1">
      <alignment vertical="top"/>
    </xf>
    <xf numFmtId="209" fontId="0" fillId="0" borderId="0" xfId="22" applyNumberFormat="1" applyFont="1" applyAlignment="1">
      <alignment horizontal="right" vertical="top"/>
    </xf>
    <xf numFmtId="0" fontId="12" fillId="0" borderId="0" xfId="0" applyFont="1" applyAlignment="1">
      <alignment vertical="top"/>
    </xf>
    <xf numFmtId="217" fontId="12" fillId="0" borderId="0" xfId="0" applyNumberFormat="1" applyFont="1" applyAlignment="1">
      <alignment vertical="top" wrapText="1"/>
    </xf>
    <xf numFmtId="209" fontId="14" fillId="0" borderId="0" xfId="22" applyNumberFormat="1" applyFont="1" applyAlignment="1">
      <alignment vertical="top"/>
    </xf>
    <xf numFmtId="10" fontId="34" fillId="0" borderId="0" xfId="22" applyNumberFormat="1" applyFont="1" applyAlignment="1">
      <alignment vertical="top"/>
    </xf>
    <xf numFmtId="9" fontId="34" fillId="0" borderId="0" xfId="0" applyNumberFormat="1" applyFont="1" applyAlignment="1">
      <alignment vertical="top"/>
    </xf>
    <xf numFmtId="1" fontId="0" fillId="0" borderId="0" xfId="0" applyNumberFormat="1" applyFont="1" applyAlignment="1">
      <alignment vertical="top"/>
    </xf>
    <xf numFmtId="9" fontId="0" fillId="0" borderId="0" xfId="22" applyFont="1" applyAlignment="1">
      <alignment vertical="top"/>
    </xf>
    <xf numFmtId="0" fontId="35" fillId="0" borderId="0" xfId="0" applyFont="1" applyAlignment="1">
      <alignment vertical="top"/>
    </xf>
    <xf numFmtId="2" fontId="0" fillId="0" borderId="4" xfId="0" applyNumberFormat="1" applyBorder="1" applyAlignment="1">
      <alignment horizontal="center" vertical="top"/>
    </xf>
    <xf numFmtId="192" fontId="0" fillId="0" borderId="0" xfId="0" applyNumberFormat="1" applyFont="1" applyAlignment="1">
      <alignment vertical="top"/>
    </xf>
    <xf numFmtId="218" fontId="34" fillId="0" borderId="0" xfId="0" applyNumberFormat="1" applyFont="1" applyAlignment="1">
      <alignment vertical="top"/>
    </xf>
    <xf numFmtId="10" fontId="34" fillId="0" borderId="0" xfId="0" applyNumberFormat="1" applyFont="1" applyAlignment="1">
      <alignment vertical="top"/>
    </xf>
    <xf numFmtId="179" fontId="0" fillId="0" borderId="0" xfId="18" applyFont="1" applyAlignment="1">
      <alignment vertical="top"/>
    </xf>
    <xf numFmtId="0" fontId="0" fillId="0" borderId="0" xfId="0" applyAlignment="1">
      <alignment vertical="top"/>
    </xf>
    <xf numFmtId="195" fontId="0" fillId="0" borderId="0" xfId="0" applyNumberFormat="1" applyFont="1" applyAlignment="1">
      <alignment vertical="top"/>
    </xf>
    <xf numFmtId="191" fontId="0" fillId="0" borderId="0" xfId="0" applyNumberFormat="1" applyFont="1" applyBorder="1" applyAlignment="1">
      <alignment vertical="top"/>
    </xf>
    <xf numFmtId="0" fontId="12" fillId="0" borderId="0" xfId="0" applyFont="1" applyAlignment="1">
      <alignment horizontal="center" vertical="top"/>
    </xf>
    <xf numFmtId="192" fontId="2" fillId="0" borderId="0" xfId="0" applyNumberFormat="1" applyFont="1" applyBorder="1" applyAlignment="1">
      <alignment vertical="top"/>
    </xf>
    <xf numFmtId="192" fontId="0" fillId="0" borderId="0" xfId="0" applyNumberFormat="1" applyFont="1" applyBorder="1" applyAlignment="1">
      <alignment vertical="top"/>
    </xf>
    <xf numFmtId="0" fontId="7" fillId="0" borderId="0" xfId="0" applyFont="1" applyBorder="1" applyAlignment="1">
      <alignment vertical="top"/>
    </xf>
    <xf numFmtId="9" fontId="8" fillId="0" borderId="0" xfId="22" applyFont="1" applyAlignment="1">
      <alignment horizontal="center" vertical="top"/>
    </xf>
    <xf numFmtId="193" fontId="2" fillId="0" borderId="4" xfId="0" applyNumberFormat="1" applyFont="1" applyBorder="1" applyAlignment="1">
      <alignment vertical="top"/>
    </xf>
    <xf numFmtId="193" fontId="0" fillId="0" borderId="0" xfId="0" applyNumberFormat="1" applyFont="1" applyBorder="1" applyAlignment="1">
      <alignment vertical="top"/>
    </xf>
    <xf numFmtId="9" fontId="2" fillId="0" borderId="4" xfId="22" applyFont="1" applyBorder="1" applyAlignment="1">
      <alignment vertical="top"/>
    </xf>
    <xf numFmtId="192" fontId="2" fillId="0" borderId="9" xfId="0" applyNumberFormat="1" applyFont="1" applyBorder="1" applyAlignment="1">
      <alignment vertical="top"/>
    </xf>
    <xf numFmtId="9" fontId="2" fillId="0" borderId="9" xfId="22" applyFont="1" applyBorder="1" applyAlignment="1">
      <alignment vertical="top"/>
    </xf>
    <xf numFmtId="9" fontId="0" fillId="0" borderId="0" xfId="22" applyBorder="1" applyAlignment="1">
      <alignment vertical="top"/>
    </xf>
    <xf numFmtId="0" fontId="0" fillId="0" borderId="10" xfId="0" applyFont="1" applyBorder="1" applyAlignment="1">
      <alignment vertical="top"/>
    </xf>
    <xf numFmtId="0" fontId="0" fillId="0" borderId="10" xfId="0" applyBorder="1" applyAlignment="1">
      <alignment horizontal="center" vertical="top"/>
    </xf>
    <xf numFmtId="9" fontId="0" fillId="0" borderId="0" xfId="22" applyNumberFormat="1" applyAlignment="1">
      <alignment vertical="top"/>
    </xf>
    <xf numFmtId="2" fontId="14" fillId="0" borderId="0" xfId="0" applyNumberFormat="1" applyFont="1" applyAlignment="1">
      <alignment vertical="top"/>
    </xf>
    <xf numFmtId="9" fontId="0" fillId="0" borderId="0" xfId="0" applyNumberFormat="1" applyAlignment="1">
      <alignment horizontal="center" vertical="top"/>
    </xf>
    <xf numFmtId="10" fontId="0" fillId="0" borderId="0" xfId="0" applyNumberFormat="1" applyAlignment="1">
      <alignment horizontal="center" vertical="top"/>
    </xf>
    <xf numFmtId="189" fontId="0" fillId="0" borderId="0" xfId="0" applyNumberFormat="1" applyAlignment="1">
      <alignment horizontal="center" vertical="top"/>
    </xf>
    <xf numFmtId="193" fontId="0" fillId="0" borderId="0" xfId="22" applyNumberFormat="1" applyAlignment="1">
      <alignment vertical="top"/>
    </xf>
    <xf numFmtId="189" fontId="0" fillId="0" borderId="0" xfId="0" applyNumberFormat="1" applyBorder="1" applyAlignment="1">
      <alignment horizontal="center" vertical="top"/>
    </xf>
    <xf numFmtId="189" fontId="2" fillId="0" borderId="0" xfId="0" applyNumberFormat="1" applyFont="1" applyAlignment="1">
      <alignment horizontal="center" vertical="top"/>
    </xf>
    <xf numFmtId="189" fontId="0" fillId="0" borderId="0" xfId="0" applyNumberFormat="1" applyBorder="1" applyAlignment="1">
      <alignment horizontal="center" vertical="center"/>
    </xf>
    <xf numFmtId="0" fontId="38" fillId="0" borderId="0" xfId="24" applyFont="1">
      <alignment vertical="top"/>
      <protection/>
    </xf>
    <xf numFmtId="0" fontId="8" fillId="0" borderId="0" xfId="0" applyFont="1" applyAlignment="1">
      <alignment horizontal="center" vertical="top"/>
    </xf>
    <xf numFmtId="0" fontId="0" fillId="0" borderId="0" xfId="0" applyBorder="1" applyAlignment="1">
      <alignment horizontal="center" vertical="top"/>
    </xf>
    <xf numFmtId="209" fontId="0" fillId="0" borderId="0" xfId="22" applyNumberFormat="1" applyAlignment="1">
      <alignment vertical="top"/>
    </xf>
    <xf numFmtId="10" fontId="0" fillId="0" borderId="0" xfId="22" applyNumberFormat="1" applyAlignment="1">
      <alignment vertical="top"/>
    </xf>
    <xf numFmtId="0" fontId="0" fillId="0" borderId="0" xfId="0" applyAlignment="1" quotePrefix="1">
      <alignment horizontal="center" vertical="top"/>
    </xf>
    <xf numFmtId="193" fontId="0" fillId="0" borderId="0" xfId="0" applyNumberFormat="1" applyAlignment="1">
      <alignment horizontal="center" vertical="top"/>
    </xf>
    <xf numFmtId="193" fontId="0" fillId="0" borderId="0" xfId="22" applyNumberFormat="1" applyFont="1" applyAlignment="1">
      <alignment horizontal="center" vertical="top"/>
    </xf>
    <xf numFmtId="0" fontId="0" fillId="0" borderId="7" xfId="0" applyBorder="1" applyAlignment="1">
      <alignment horizontal="left" vertical="top"/>
    </xf>
    <xf numFmtId="0" fontId="0" fillId="2" borderId="0" xfId="0" applyFill="1" applyBorder="1" applyAlignment="1">
      <alignment horizontal="center" vertical="top"/>
    </xf>
    <xf numFmtId="179" fontId="0" fillId="0" borderId="0" xfId="18" applyAlignment="1">
      <alignment horizontal="center" vertical="top"/>
    </xf>
    <xf numFmtId="10" fontId="0" fillId="2" borderId="0" xfId="22" applyNumberFormat="1" applyFill="1" applyBorder="1" applyAlignment="1">
      <alignment horizontal="center" vertical="top"/>
    </xf>
    <xf numFmtId="193" fontId="2" fillId="2" borderId="0" xfId="0" applyNumberFormat="1" applyFont="1" applyFill="1" applyAlignment="1">
      <alignment vertical="top"/>
    </xf>
    <xf numFmtId="179" fontId="2" fillId="2" borderId="0" xfId="18" applyFont="1" applyFill="1" applyAlignment="1">
      <alignment vertical="top"/>
    </xf>
    <xf numFmtId="190" fontId="0" fillId="0" borderId="0" xfId="0" applyNumberFormat="1" applyAlignment="1">
      <alignment horizontal="center" vertical="top"/>
    </xf>
    <xf numFmtId="0" fontId="0" fillId="0" borderId="11" xfId="0" applyBorder="1" applyAlignment="1">
      <alignment vertical="top"/>
    </xf>
    <xf numFmtId="190" fontId="0" fillId="0" borderId="12" xfId="0" applyNumberFormat="1" applyBorder="1" applyAlignment="1">
      <alignment vertical="top"/>
    </xf>
    <xf numFmtId="0" fontId="0" fillId="0" borderId="13" xfId="0" applyBorder="1" applyAlignment="1" quotePrefix="1">
      <alignment vertical="top"/>
    </xf>
    <xf numFmtId="0" fontId="0" fillId="0" borderId="6" xfId="0" applyBorder="1" applyAlignment="1" quotePrefix="1">
      <alignment vertical="top"/>
    </xf>
    <xf numFmtId="0" fontId="0" fillId="0" borderId="2" xfId="0" applyBorder="1" applyAlignment="1">
      <alignment horizontal="center" vertical="top"/>
    </xf>
    <xf numFmtId="179" fontId="0" fillId="0" borderId="0" xfId="18" applyAlignment="1">
      <alignment vertical="top"/>
    </xf>
    <xf numFmtId="0" fontId="9" fillId="0" borderId="0" xfId="0" applyFont="1" applyAlignment="1" quotePrefix="1">
      <alignment vertical="top"/>
    </xf>
    <xf numFmtId="0" fontId="2" fillId="2" borderId="0" xfId="0" applyFont="1" applyFill="1" applyAlignment="1">
      <alignment horizontal="center" vertical="top"/>
    </xf>
    <xf numFmtId="0" fontId="9" fillId="0" borderId="0" xfId="0" applyFont="1" applyAlignment="1" quotePrefix="1">
      <alignment horizontal="left" vertical="top"/>
    </xf>
    <xf numFmtId="0" fontId="7" fillId="0" borderId="0" xfId="0" applyFont="1" applyAlignment="1">
      <alignment vertical="top"/>
    </xf>
    <xf numFmtId="0" fontId="9" fillId="0" borderId="0" xfId="0" applyFont="1" applyAlignment="1">
      <alignment vertical="top"/>
    </xf>
    <xf numFmtId="192" fontId="0" fillId="0" borderId="0" xfId="0" applyNumberFormat="1" applyBorder="1" applyAlignment="1">
      <alignment vertical="top"/>
    </xf>
    <xf numFmtId="0" fontId="15" fillId="0" borderId="0" xfId="0" applyFont="1" applyAlignment="1">
      <alignment vertical="top"/>
    </xf>
    <xf numFmtId="0" fontId="14" fillId="0" borderId="0" xfId="0" applyFont="1" applyAlignment="1">
      <alignment vertical="top"/>
    </xf>
    <xf numFmtId="193" fontId="14" fillId="0" borderId="0" xfId="0" applyNumberFormat="1" applyFont="1" applyAlignment="1">
      <alignment vertical="top"/>
    </xf>
    <xf numFmtId="192" fontId="14" fillId="0" borderId="0" xfId="0" applyNumberFormat="1" applyFont="1" applyAlignment="1">
      <alignment vertical="top"/>
    </xf>
    <xf numFmtId="0" fontId="41" fillId="0" borderId="0" xfId="0" applyFont="1" applyAlignment="1">
      <alignment horizontal="left" vertical="top" indent="1"/>
    </xf>
    <xf numFmtId="193" fontId="41" fillId="0" borderId="0" xfId="22" applyNumberFormat="1" applyFont="1" applyAlignment="1">
      <alignment vertical="top"/>
    </xf>
    <xf numFmtId="0" fontId="14" fillId="0" borderId="4" xfId="0" applyFont="1" applyFill="1" applyBorder="1" applyAlignment="1">
      <alignment vertical="top"/>
    </xf>
    <xf numFmtId="10" fontId="14" fillId="0" borderId="4" xfId="0" applyNumberFormat="1" applyFont="1" applyBorder="1" applyAlignment="1">
      <alignment vertical="top"/>
    </xf>
    <xf numFmtId="0" fontId="41" fillId="0" borderId="0" xfId="0" applyFont="1" applyAlignment="1">
      <alignment horizontal="center" vertical="top"/>
    </xf>
    <xf numFmtId="0" fontId="14" fillId="0" borderId="0" xfId="0" applyFont="1" applyBorder="1" applyAlignment="1">
      <alignment vertical="top"/>
    </xf>
    <xf numFmtId="10" fontId="14" fillId="0" borderId="0" xfId="0" applyNumberFormat="1" applyFont="1" applyBorder="1" applyAlignment="1">
      <alignment vertical="top"/>
    </xf>
    <xf numFmtId="0" fontId="41" fillId="0" borderId="0" xfId="0" applyFont="1" applyBorder="1" applyAlignment="1">
      <alignment horizontal="left" vertical="top" indent="1"/>
    </xf>
    <xf numFmtId="192" fontId="41" fillId="0" borderId="0" xfId="0" applyNumberFormat="1" applyFont="1" applyAlignment="1">
      <alignment vertical="top"/>
    </xf>
    <xf numFmtId="192" fontId="41" fillId="0" borderId="0" xfId="0" applyNumberFormat="1" applyFont="1" applyBorder="1" applyAlignment="1">
      <alignment vertical="top"/>
    </xf>
    <xf numFmtId="193" fontId="41" fillId="0" borderId="0" xfId="0" applyNumberFormat="1" applyFont="1" applyBorder="1" applyAlignment="1">
      <alignment vertical="top"/>
    </xf>
    <xf numFmtId="0" fontId="14" fillId="0" borderId="4" xfId="0" applyFont="1" applyBorder="1" applyAlignment="1">
      <alignment vertical="top"/>
    </xf>
    <xf numFmtId="0" fontId="41" fillId="0" borderId="0" xfId="0" applyFont="1" applyAlignment="1">
      <alignment vertical="top"/>
    </xf>
    <xf numFmtId="0" fontId="41" fillId="0" borderId="4" xfId="0" applyFont="1" applyBorder="1" applyAlignment="1">
      <alignment horizontal="left" vertical="top" indent="1"/>
    </xf>
    <xf numFmtId="193" fontId="41" fillId="0" borderId="4" xfId="0" applyNumberFormat="1" applyFont="1" applyBorder="1" applyAlignment="1">
      <alignment vertical="top"/>
    </xf>
    <xf numFmtId="10" fontId="14" fillId="0" borderId="0" xfId="22" applyNumberFormat="1" applyFont="1" applyAlignment="1">
      <alignment vertical="top"/>
    </xf>
    <xf numFmtId="193" fontId="0" fillId="2" borderId="0" xfId="0" applyNumberFormat="1" applyFill="1" applyAlignment="1">
      <alignment vertical="top"/>
    </xf>
    <xf numFmtId="193" fontId="0" fillId="0" borderId="4" xfId="0" applyNumberFormat="1" applyBorder="1" applyAlignment="1">
      <alignment horizontal="center" vertical="top"/>
    </xf>
    <xf numFmtId="0" fontId="37" fillId="0" borderId="0" xfId="0" applyFont="1" applyAlignment="1">
      <alignment vertical="top"/>
    </xf>
    <xf numFmtId="1" fontId="2" fillId="0" borderId="0" xfId="0" applyNumberFormat="1" applyFont="1" applyAlignment="1">
      <alignment vertical="top"/>
    </xf>
    <xf numFmtId="9" fontId="0" fillId="0" borderId="0" xfId="22" applyAlignment="1">
      <alignment vertical="top"/>
    </xf>
    <xf numFmtId="0" fontId="2" fillId="0" borderId="0" xfId="23" applyFont="1">
      <alignment vertical="top"/>
      <protection/>
    </xf>
    <xf numFmtId="0" fontId="0" fillId="0" borderId="0" xfId="23" applyFont="1">
      <alignment vertical="top"/>
      <protection/>
    </xf>
    <xf numFmtId="203" fontId="0" fillId="0" borderId="0" xfId="0" applyNumberFormat="1" applyAlignment="1">
      <alignment vertical="top"/>
    </xf>
    <xf numFmtId="203" fontId="0" fillId="0" borderId="4" xfId="0" applyNumberFormat="1" applyBorder="1" applyAlignment="1">
      <alignment vertical="top"/>
    </xf>
    <xf numFmtId="192" fontId="0" fillId="0" borderId="0" xfId="15" applyNumberFormat="1" applyFont="1">
      <alignment vertical="top"/>
      <protection/>
    </xf>
    <xf numFmtId="2" fontId="42" fillId="0" borderId="0" xfId="0" applyNumberFormat="1" applyFont="1" applyAlignment="1">
      <alignment vertical="top"/>
    </xf>
    <xf numFmtId="0" fontId="9" fillId="0" borderId="0" xfId="0" applyFont="1" applyAlignment="1">
      <alignment horizontal="left" vertical="top" indent="1"/>
    </xf>
    <xf numFmtId="10" fontId="42" fillId="0" borderId="0" xfId="22" applyNumberFormat="1" applyFont="1" applyAlignment="1">
      <alignment vertical="top"/>
    </xf>
    <xf numFmtId="203" fontId="0" fillId="0" borderId="0" xfId="18" applyNumberFormat="1" applyAlignment="1">
      <alignment horizontal="right" vertical="top"/>
    </xf>
    <xf numFmtId="9" fontId="0" fillId="0" borderId="0" xfId="22" applyFont="1" applyAlignment="1" quotePrefix="1">
      <alignment horizontal="center" vertical="top"/>
    </xf>
    <xf numFmtId="1" fontId="0" fillId="0" borderId="0" xfId="0" applyNumberFormat="1" applyAlignment="1">
      <alignment horizontal="center" vertical="top"/>
    </xf>
    <xf numFmtId="1" fontId="0" fillId="0" borderId="4" xfId="0" applyNumberFormat="1" applyBorder="1" applyAlignment="1">
      <alignment horizontal="center" vertical="top"/>
    </xf>
    <xf numFmtId="2" fontId="0" fillId="0" borderId="0" xfId="0" applyNumberFormat="1" applyAlignment="1">
      <alignment horizontal="center" vertical="top"/>
    </xf>
    <xf numFmtId="0" fontId="0" fillId="0" borderId="0" xfId="0" applyFill="1" applyBorder="1" applyAlignment="1">
      <alignment vertical="top"/>
    </xf>
    <xf numFmtId="10" fontId="0" fillId="0" borderId="0" xfId="22" applyNumberFormat="1" applyAlignment="1">
      <alignment horizontal="center" vertical="top"/>
    </xf>
    <xf numFmtId="189" fontId="0" fillId="0" borderId="4" xfId="0" applyNumberFormat="1" applyFont="1" applyBorder="1" applyAlignment="1">
      <alignment vertical="top"/>
    </xf>
    <xf numFmtId="179" fontId="6" fillId="0" borderId="0" xfId="18" applyFont="1" applyAlignment="1">
      <alignment vertical="top"/>
    </xf>
    <xf numFmtId="0" fontId="0" fillId="0" borderId="0" xfId="0" applyBorder="1" applyAlignment="1">
      <alignment horizontal="center" vertical="center"/>
    </xf>
    <xf numFmtId="0" fontId="0" fillId="0" borderId="0" xfId="0" applyFill="1" applyAlignment="1">
      <alignment vertical="top"/>
    </xf>
    <xf numFmtId="190" fontId="4" fillId="0" borderId="0" xfId="0" applyNumberFormat="1" applyFont="1" applyFill="1" applyBorder="1" applyAlignment="1">
      <alignment vertical="top" wrapText="1"/>
    </xf>
    <xf numFmtId="190" fontId="0" fillId="0" borderId="0" xfId="0" applyNumberFormat="1" applyFill="1" applyAlignment="1">
      <alignment vertical="top"/>
    </xf>
    <xf numFmtId="2" fontId="4" fillId="0" borderId="0" xfId="0" applyNumberFormat="1" applyFont="1" applyFill="1" applyBorder="1" applyAlignment="1">
      <alignment vertical="top" wrapText="1"/>
    </xf>
    <xf numFmtId="203" fontId="0" fillId="0" borderId="0" xfId="18" applyNumberFormat="1" applyBorder="1" applyAlignment="1">
      <alignment vertical="top"/>
    </xf>
    <xf numFmtId="0" fontId="0" fillId="0" borderId="0" xfId="0" applyBorder="1" applyAlignment="1">
      <alignment horizontal="left" vertical="top" indent="1"/>
    </xf>
    <xf numFmtId="203" fontId="0" fillId="0" borderId="0" xfId="0" applyNumberFormat="1" applyBorder="1" applyAlignment="1">
      <alignment vertical="top"/>
    </xf>
    <xf numFmtId="0" fontId="0" fillId="0" borderId="4" xfId="0" applyFill="1" applyBorder="1" applyAlignment="1">
      <alignment vertical="top"/>
    </xf>
    <xf numFmtId="0" fontId="0" fillId="0" borderId="0" xfId="0" applyAlignment="1">
      <alignment vertical="center"/>
    </xf>
    <xf numFmtId="0" fontId="2" fillId="0" borderId="9" xfId="0" applyFont="1" applyBorder="1" applyAlignment="1">
      <alignment vertical="center"/>
    </xf>
    <xf numFmtId="222" fontId="0" fillId="0" borderId="0" xfId="0" applyNumberFormat="1" applyAlignment="1">
      <alignment vertical="top"/>
    </xf>
    <xf numFmtId="222" fontId="0" fillId="0" borderId="4" xfId="0" applyNumberFormat="1" applyBorder="1" applyAlignment="1">
      <alignment vertical="top"/>
    </xf>
    <xf numFmtId="194" fontId="0" fillId="0" borderId="0" xfId="18" applyNumberFormat="1" applyAlignment="1">
      <alignment vertical="top"/>
    </xf>
    <xf numFmtId="210" fontId="0" fillId="0" borderId="0" xfId="22" applyNumberFormat="1" applyAlignment="1">
      <alignment vertical="top"/>
    </xf>
    <xf numFmtId="39" fontId="0" fillId="0" borderId="0" xfId="18" applyNumberFormat="1" applyAlignment="1">
      <alignment vertical="top"/>
    </xf>
    <xf numFmtId="192" fontId="2" fillId="0" borderId="9" xfId="0" applyNumberFormat="1" applyFont="1" applyBorder="1" applyAlignment="1">
      <alignment vertical="center"/>
    </xf>
    <xf numFmtId="9" fontId="0" fillId="0" borderId="0" xfId="22" applyAlignment="1">
      <alignment vertical="center"/>
    </xf>
    <xf numFmtId="0" fontId="6" fillId="0" borderId="0" xfId="0" applyFont="1" applyFill="1" applyAlignment="1">
      <alignment horizontal="left" vertical="top" indent="1"/>
    </xf>
    <xf numFmtId="191" fontId="0" fillId="0" borderId="9" xfId="0" applyNumberFormat="1" applyFont="1" applyBorder="1" applyAlignment="1">
      <alignment vertical="top"/>
    </xf>
    <xf numFmtId="191" fontId="0" fillId="0" borderId="9" xfId="0" applyNumberFormat="1" applyFont="1" applyFill="1" applyBorder="1" applyAlignment="1">
      <alignment vertical="top"/>
    </xf>
    <xf numFmtId="0" fontId="2" fillId="0" borderId="0" xfId="0" applyNumberFormat="1" applyFont="1" applyBorder="1" applyAlignment="1">
      <alignment horizontal="center" vertical="top"/>
    </xf>
    <xf numFmtId="0" fontId="0" fillId="0" borderId="0" xfId="0" applyFont="1" applyBorder="1" applyAlignment="1" quotePrefix="1">
      <alignment vertical="top"/>
    </xf>
    <xf numFmtId="2" fontId="0" fillId="0" borderId="0" xfId="0" applyNumberFormat="1" applyAlignment="1">
      <alignment vertical="top"/>
    </xf>
    <xf numFmtId="0" fontId="0" fillId="0" borderId="13" xfId="26" applyFont="1" applyBorder="1">
      <alignment vertical="top" wrapText="1"/>
      <protection/>
    </xf>
    <xf numFmtId="0" fontId="0" fillId="0" borderId="6" xfId="26" applyFont="1" applyBorder="1">
      <alignment vertical="top" wrapText="1"/>
      <protection/>
    </xf>
    <xf numFmtId="0" fontId="0" fillId="0" borderId="7" xfId="0" applyBorder="1" applyAlignment="1">
      <alignment vertical="top"/>
    </xf>
    <xf numFmtId="190" fontId="0" fillId="0" borderId="0" xfId="0" applyNumberFormat="1" applyAlignment="1">
      <alignment vertical="top"/>
    </xf>
    <xf numFmtId="0" fontId="0" fillId="0" borderId="0" xfId="0" applyFont="1" applyFill="1" applyAlignment="1">
      <alignment vertical="top"/>
    </xf>
    <xf numFmtId="10" fontId="0" fillId="0" borderId="0" xfId="22" applyNumberFormat="1" applyAlignment="1">
      <alignment horizontal="center" vertical="top"/>
    </xf>
    <xf numFmtId="10" fontId="0" fillId="0" borderId="0" xfId="0" applyNumberFormat="1" applyBorder="1" applyAlignment="1">
      <alignment horizontal="center" vertical="top"/>
    </xf>
    <xf numFmtId="0" fontId="33" fillId="0" borderId="0" xfId="24" applyFont="1" applyAlignment="1">
      <alignment vertical="top"/>
      <protection/>
    </xf>
    <xf numFmtId="0" fontId="32" fillId="0" borderId="0" xfId="26" applyFont="1" applyAlignment="1">
      <alignment horizontal="left" vertical="top" indent="1"/>
      <protection/>
    </xf>
    <xf numFmtId="0" fontId="0" fillId="0" borderId="0" xfId="26" applyAlignment="1">
      <alignment vertical="top"/>
      <protection/>
    </xf>
    <xf numFmtId="0" fontId="2" fillId="0" borderId="0" xfId="26" applyFont="1" applyAlignment="1">
      <alignment vertical="top"/>
      <protection/>
    </xf>
    <xf numFmtId="193" fontId="0" fillId="0" borderId="0" xfId="0" applyNumberFormat="1" applyAlignment="1">
      <alignment vertical="top"/>
    </xf>
    <xf numFmtId="0" fontId="0" fillId="0" borderId="0" xfId="26" applyFont="1" applyFill="1">
      <alignment vertical="top" wrapText="1"/>
      <protection/>
    </xf>
    <xf numFmtId="193" fontId="4" fillId="0" borderId="0" xfId="22" applyNumberFormat="1" applyFont="1" applyAlignment="1">
      <alignment horizontal="center" vertical="top"/>
    </xf>
    <xf numFmtId="193" fontId="2" fillId="0" borderId="0" xfId="22" applyNumberFormat="1" applyFont="1" applyAlignment="1">
      <alignment vertical="top"/>
    </xf>
    <xf numFmtId="193" fontId="2" fillId="0" borderId="0" xfId="0" applyNumberFormat="1" applyFont="1" applyAlignment="1">
      <alignment vertical="top"/>
    </xf>
    <xf numFmtId="195" fontId="2" fillId="0" borderId="0" xfId="0" applyNumberFormat="1" applyFont="1" applyAlignment="1">
      <alignment vertical="top"/>
    </xf>
    <xf numFmtId="0" fontId="38" fillId="0" borderId="0" xfId="24" applyFont="1" applyFill="1">
      <alignment vertical="top"/>
      <protection/>
    </xf>
    <xf numFmtId="0" fontId="2" fillId="0" borderId="0" xfId="0" applyFont="1" applyFill="1" applyAlignment="1">
      <alignment vertical="top"/>
    </xf>
    <xf numFmtId="0" fontId="30" fillId="0" borderId="0" xfId="25" applyFont="1" applyFill="1">
      <alignment vertical="top"/>
      <protection/>
    </xf>
    <xf numFmtId="0" fontId="2" fillId="0" borderId="0" xfId="23" applyFont="1" applyFill="1">
      <alignment vertical="top"/>
      <protection/>
    </xf>
    <xf numFmtId="3" fontId="0" fillId="0" borderId="0" xfId="0" applyNumberFormat="1" applyAlignment="1">
      <alignment vertical="top"/>
    </xf>
    <xf numFmtId="3" fontId="0" fillId="0" borderId="4" xfId="0" applyNumberFormat="1" applyBorder="1" applyAlignment="1">
      <alignment vertical="top"/>
    </xf>
    <xf numFmtId="0" fontId="0" fillId="0" borderId="9" xfId="0" applyBorder="1" applyAlignment="1" quotePrefix="1">
      <alignment vertical="top"/>
    </xf>
    <xf numFmtId="3" fontId="0" fillId="0" borderId="9" xfId="0" applyNumberFormat="1" applyBorder="1" applyAlignment="1">
      <alignment vertical="top"/>
    </xf>
    <xf numFmtId="0" fontId="0" fillId="0" borderId="0" xfId="0" applyAlignment="1">
      <alignment horizontal="left" vertical="top"/>
    </xf>
    <xf numFmtId="4" fontId="0" fillId="0" borderId="0" xfId="0" applyNumberFormat="1" applyAlignment="1">
      <alignment vertical="top"/>
    </xf>
    <xf numFmtId="0" fontId="0" fillId="0" borderId="0" xfId="0" applyFill="1" applyAlignment="1">
      <alignment horizontal="center" vertical="top"/>
    </xf>
    <xf numFmtId="0" fontId="0" fillId="0" borderId="0" xfId="0" applyBorder="1" applyAlignment="1">
      <alignment horizontal="left" vertical="top"/>
    </xf>
    <xf numFmtId="190" fontId="7" fillId="0" borderId="0" xfId="0" applyNumberFormat="1" applyFont="1" applyFill="1" applyAlignment="1">
      <alignment vertical="top"/>
    </xf>
    <xf numFmtId="0" fontId="7" fillId="0" borderId="0" xfId="0" applyFont="1" applyFill="1" applyAlignment="1">
      <alignment vertical="top"/>
    </xf>
    <xf numFmtId="0" fontId="3" fillId="0" borderId="0" xfId="24" applyFont="1" applyFill="1">
      <alignment vertical="top"/>
      <protection/>
    </xf>
    <xf numFmtId="189" fontId="0" fillId="0" borderId="0" xfId="0" applyNumberFormat="1" applyBorder="1" applyAlignment="1">
      <alignment horizontal="center" vertical="center"/>
    </xf>
    <xf numFmtId="9" fontId="8" fillId="0" borderId="0" xfId="22" applyFont="1" applyAlignment="1">
      <alignment horizontal="center" vertical="top"/>
    </xf>
    <xf numFmtId="192" fontId="0" fillId="0" borderId="0" xfId="18" applyNumberFormat="1" applyAlignment="1">
      <alignment horizontal="right" vertical="top"/>
    </xf>
    <xf numFmtId="0" fontId="2" fillId="0" borderId="0" xfId="0" applyFont="1" applyAlignment="1">
      <alignment horizontal="center" vertical="top"/>
    </xf>
    <xf numFmtId="0" fontId="0" fillId="0" borderId="5" xfId="0" applyBorder="1" applyAlignment="1">
      <alignment horizontal="center" vertical="top"/>
    </xf>
    <xf numFmtId="0" fontId="0" fillId="0" borderId="0" xfId="0" applyBorder="1" applyAlignment="1">
      <alignment horizontal="center" vertical="top"/>
    </xf>
    <xf numFmtId="190" fontId="0" fillId="0" borderId="0" xfId="0" applyNumberFormat="1" applyBorder="1" applyAlignment="1">
      <alignment horizontal="center" vertical="top"/>
    </xf>
    <xf numFmtId="190" fontId="0" fillId="0" borderId="7" xfId="0" applyNumberFormat="1" applyBorder="1" applyAlignment="1">
      <alignment horizontal="center" vertical="top"/>
    </xf>
    <xf numFmtId="9" fontId="0" fillId="0" borderId="0" xfId="0" applyNumberFormat="1" applyAlignment="1">
      <alignment horizontal="center" vertical="top"/>
    </xf>
    <xf numFmtId="193" fontId="4" fillId="0" borderId="0" xfId="0" applyNumberFormat="1" applyFont="1" applyAlignment="1">
      <alignment horizontal="center" vertical="top"/>
    </xf>
    <xf numFmtId="0" fontId="0" fillId="0" borderId="0" xfId="0" applyAlignment="1">
      <alignment horizontal="center" vertical="top"/>
    </xf>
    <xf numFmtId="193" fontId="0" fillId="0" borderId="0" xfId="0" applyNumberFormat="1" applyFont="1" applyAlignment="1">
      <alignment horizontal="center" vertical="top"/>
    </xf>
    <xf numFmtId="193" fontId="0" fillId="0" borderId="0" xfId="0" applyNumberFormat="1" applyAlignment="1">
      <alignment horizontal="center" vertical="top"/>
    </xf>
    <xf numFmtId="10" fontId="0" fillId="0" borderId="0" xfId="0" applyNumberFormat="1" applyAlignment="1">
      <alignment horizontal="center" vertical="top"/>
    </xf>
    <xf numFmtId="0" fontId="2" fillId="0" borderId="5" xfId="0" applyFont="1" applyBorder="1" applyAlignment="1">
      <alignment horizontal="center" vertical="top"/>
    </xf>
    <xf numFmtId="0" fontId="2" fillId="0" borderId="7" xfId="0" applyFont="1" applyBorder="1" applyAlignment="1">
      <alignment horizontal="center" vertical="top"/>
    </xf>
  </cellXfs>
  <cellStyles count="13">
    <cellStyle name="Normal" xfId="0"/>
    <cellStyle name="Données" xfId="15"/>
    <cellStyle name="Hyperlink" xfId="16"/>
    <cellStyle name="Followed Hyperlink" xfId="17"/>
    <cellStyle name="Comma" xfId="18"/>
    <cellStyle name="Comma [0]" xfId="19"/>
    <cellStyle name="Currency" xfId="20"/>
    <cellStyle name="Currency [0]" xfId="21"/>
    <cellStyle name="Percent" xfId="22"/>
    <cellStyle name="Résultat" xfId="23"/>
    <cellStyle name="Titre 1" xfId="24"/>
    <cellStyle name="Titre 2" xfId="25"/>
    <cellStyle name="TitreLigne"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sng" baseline="0"/>
              <a:t>NPV depending on the discount rate</a:t>
            </a:r>
          </a:p>
        </c:rich>
      </c:tx>
      <c:layout/>
      <c:spPr>
        <a:noFill/>
        <a:ln>
          <a:noFill/>
        </a:ln>
      </c:spPr>
    </c:title>
    <c:plotArea>
      <c:layout>
        <c:manualLayout>
          <c:xMode val="edge"/>
          <c:yMode val="edge"/>
          <c:x val="0.02325"/>
          <c:y val="0.11175"/>
          <c:w val="0.969"/>
          <c:h val="0.79275"/>
        </c:manualLayout>
      </c:layout>
      <c:scatterChart>
        <c:scatterStyle val="smoothMarker"/>
        <c:varyColors val="0"/>
        <c:ser>
          <c:idx val="0"/>
          <c:order val="0"/>
          <c:tx>
            <c:strRef>
              <c:f>'[1]Chapitre 21'!$B$7</c:f>
              <c:strCache>
                <c:ptCount val="1"/>
                <c:pt idx="0">
                  <c:v>VAN</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'[1]Chapitre 21'!$A$8:$A$12</c:f>
              <c:numCache>
                <c:ptCount val="5"/>
                <c:pt idx="0">
                  <c:v>0.05</c:v>
                </c:pt>
                <c:pt idx="1">
                  <c:v>0.1</c:v>
                </c:pt>
                <c:pt idx="2">
                  <c:v>0.15</c:v>
                </c:pt>
                <c:pt idx="3">
                  <c:v>0.2</c:v>
                </c:pt>
                <c:pt idx="4">
                  <c:v>0.25</c:v>
                </c:pt>
              </c:numCache>
            </c:numRef>
          </c:xVal>
          <c:yVal>
            <c:numRef>
              <c:f>'[1]Chapitre 21'!$B$8:$B$12</c:f>
              <c:numCache>
                <c:ptCount val="5"/>
                <c:pt idx="0">
                  <c:v>401.8430011892458</c:v>
                </c:pt>
                <c:pt idx="1">
                  <c:v>240.2360308225343</c:v>
                </c:pt>
                <c:pt idx="2">
                  <c:v>108.6465294034208</c:v>
                </c:pt>
                <c:pt idx="3">
                  <c:v>0.18364197530866022</c:v>
                </c:pt>
                <c:pt idx="4">
                  <c:v>-90.21600000000001</c:v>
                </c:pt>
              </c:numCache>
            </c:numRef>
          </c:yVal>
          <c:smooth val="1"/>
        </c:ser>
        <c:axId val="13221051"/>
        <c:axId val="1177744"/>
      </c:scatterChart>
      <c:valAx>
        <c:axId val="13221051"/>
        <c:scaling>
          <c:orientation val="minMax"/>
        </c:scaling>
        <c:axPos val="b"/>
        <c:title>
          <c:tx>
            <c:rich>
              <a:bodyPr vert="horz" rot="0" anchor="ctr"/>
              <a:lstStyle/>
              <a:p>
                <a:pPr algn="ctr">
                  <a:defRPr/>
                </a:pPr>
                <a:r>
                  <a:rPr lang="en-US" cap="none" sz="1150" b="1" i="0" u="none" baseline="0"/>
                  <a:t>Rate</a:t>
                </a:r>
              </a:p>
            </c:rich>
          </c:tx>
          <c:layout/>
          <c:overlay val="0"/>
          <c:spPr>
            <a:noFill/>
            <a:ln>
              <a:noFill/>
            </a:ln>
          </c:spPr>
        </c:title>
        <c:delete val="0"/>
        <c:numFmt formatCode="General" sourceLinked="1"/>
        <c:majorTickMark val="out"/>
        <c:minorTickMark val="none"/>
        <c:tickLblPos val="nextTo"/>
        <c:txPr>
          <a:bodyPr/>
          <a:lstStyle/>
          <a:p>
            <a:pPr>
              <a:defRPr lang="en-US" cap="none" sz="850" b="0" i="0" u="none" baseline="0"/>
            </a:pPr>
          </a:p>
        </c:txPr>
        <c:crossAx val="1177744"/>
        <c:crosses val="autoZero"/>
        <c:crossBetween val="midCat"/>
        <c:dispUnits/>
      </c:valAx>
      <c:valAx>
        <c:axId val="1177744"/>
        <c:scaling>
          <c:orientation val="minMax"/>
        </c:scaling>
        <c:axPos val="l"/>
        <c:title>
          <c:tx>
            <c:rich>
              <a:bodyPr vert="horz" rot="-5400000" anchor="ctr"/>
              <a:lstStyle/>
              <a:p>
                <a:pPr algn="ctr">
                  <a:defRPr/>
                </a:pPr>
                <a:r>
                  <a:rPr lang="en-US" cap="none" sz="1150" b="1" i="0" u="none" baseline="0"/>
                  <a:t>NPV</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pPr>
          </a:p>
        </c:txPr>
        <c:crossAx val="1322105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6"/>
          <c:order val="0"/>
          <c:tx>
            <c:strRef>
              <c:f>'Chapter 18'!$A$165</c:f>
              <c:strCache>
                <c:ptCount val="1"/>
                <c:pt idx="0">
                  <c:v>Cumulated and discounted cash flows</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'Chapter 18'!$B$148:$AF$148</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'Chapter 18'!$B$165:$AF$165</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1"/>
        </c:ser>
        <c:axId val="23445953"/>
        <c:axId val="20916990"/>
      </c:scatterChart>
      <c:valAx>
        <c:axId val="23445953"/>
        <c:scaling>
          <c:orientation val="minMax"/>
        </c:scaling>
        <c:axPos val="b"/>
        <c:title>
          <c:tx>
            <c:rich>
              <a:bodyPr vert="horz" rot="0" anchor="ctr"/>
              <a:lstStyle/>
              <a:p>
                <a:pPr algn="ctr">
                  <a:defRPr/>
                </a:pPr>
                <a:r>
                  <a:rPr lang="en-US" cap="none" sz="800" b="1" i="0" u="none" baseline="0"/>
                  <a:t>Year</a:t>
                </a:r>
              </a:p>
            </c:rich>
          </c:tx>
          <c:layout/>
          <c:overlay val="0"/>
          <c:spPr>
            <a:noFill/>
            <a:ln>
              <a:noFill/>
            </a:ln>
          </c:spPr>
        </c:title>
        <c:delete val="0"/>
        <c:numFmt formatCode="General" sourceLinked="1"/>
        <c:majorTickMark val="out"/>
        <c:minorTickMark val="none"/>
        <c:tickLblPos val="nextTo"/>
        <c:crossAx val="20916990"/>
        <c:crosses val="autoZero"/>
        <c:crossBetween val="midCat"/>
        <c:dispUnits/>
      </c:valAx>
      <c:valAx>
        <c:axId val="20916990"/>
        <c:scaling>
          <c:orientation val="minMax"/>
        </c:scaling>
        <c:axPos val="l"/>
        <c:title>
          <c:tx>
            <c:rich>
              <a:bodyPr vert="horz" rot="-5400000" anchor="ctr"/>
              <a:lstStyle/>
              <a:p>
                <a:pPr algn="ctr">
                  <a:defRPr/>
                </a:pPr>
                <a:r>
                  <a:rPr lang="en-US" cap="none" sz="800" b="1" i="0" u="none" baseline="0"/>
                  <a:t>Cumulated cash flows</a:t>
                </a:r>
              </a:p>
            </c:rich>
          </c:tx>
          <c:layout/>
          <c:overlay val="0"/>
          <c:spPr>
            <a:noFill/>
            <a:ln>
              <a:noFill/>
            </a:ln>
          </c:spPr>
        </c:title>
        <c:majorGridlines/>
        <c:delete val="0"/>
        <c:numFmt formatCode="General" sourceLinked="1"/>
        <c:majorTickMark val="out"/>
        <c:minorTickMark val="none"/>
        <c:tickLblPos val="nextTo"/>
        <c:crossAx val="2344595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475"/>
          <c:w val="0.9565"/>
          <c:h val="0.8965"/>
        </c:manualLayout>
      </c:layout>
      <c:scatterChart>
        <c:scatterStyle val="smoothMarker"/>
        <c:varyColors val="0"/>
        <c:ser>
          <c:idx val="11"/>
          <c:order val="0"/>
          <c:tx>
            <c:strRef>
              <c:f>'Chapter 18'!$A$223</c:f>
              <c:strCache>
                <c:ptCount val="1"/>
                <c:pt idx="0">
                  <c:v>Cumulated and discounted cash flows</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'Chapter 18'!$B$211:$I$211</c:f>
              <c:numCache>
                <c:ptCount val="8"/>
                <c:pt idx="0">
                  <c:v>0</c:v>
                </c:pt>
                <c:pt idx="1">
                  <c:v>0</c:v>
                </c:pt>
                <c:pt idx="2">
                  <c:v>0</c:v>
                </c:pt>
                <c:pt idx="3">
                  <c:v>0</c:v>
                </c:pt>
                <c:pt idx="4">
                  <c:v>0</c:v>
                </c:pt>
                <c:pt idx="5">
                  <c:v>0</c:v>
                </c:pt>
                <c:pt idx="6">
                  <c:v>0</c:v>
                </c:pt>
                <c:pt idx="7">
                  <c:v>0</c:v>
                </c:pt>
              </c:numCache>
            </c:numRef>
          </c:xVal>
          <c:yVal>
            <c:numRef>
              <c:f>'Chapter 18'!$B$223:$I$223</c:f>
              <c:numCache>
                <c:ptCount val="8"/>
                <c:pt idx="0">
                  <c:v>0</c:v>
                </c:pt>
                <c:pt idx="1">
                  <c:v>0</c:v>
                </c:pt>
                <c:pt idx="2">
                  <c:v>0</c:v>
                </c:pt>
                <c:pt idx="3">
                  <c:v>0</c:v>
                </c:pt>
                <c:pt idx="4">
                  <c:v>0</c:v>
                </c:pt>
                <c:pt idx="5">
                  <c:v>0</c:v>
                </c:pt>
                <c:pt idx="6">
                  <c:v>0</c:v>
                </c:pt>
                <c:pt idx="7">
                  <c:v>0</c:v>
                </c:pt>
              </c:numCache>
            </c:numRef>
          </c:yVal>
          <c:smooth val="1"/>
        </c:ser>
        <c:axId val="867975"/>
        <c:axId val="52946476"/>
      </c:scatterChart>
      <c:valAx>
        <c:axId val="867975"/>
        <c:scaling>
          <c:orientation val="minMax"/>
        </c:scaling>
        <c:axPos val="b"/>
        <c:title>
          <c:tx>
            <c:rich>
              <a:bodyPr vert="horz" rot="0" anchor="ctr"/>
              <a:lstStyle/>
              <a:p>
                <a:pPr algn="ctr">
                  <a:defRPr/>
                </a:pPr>
                <a:r>
                  <a:rPr lang="en-US" cap="none" sz="850" b="1" i="0" u="none" baseline="0"/>
                  <a:t>Years</a:t>
                </a:r>
              </a:p>
            </c:rich>
          </c:tx>
          <c:layout/>
          <c:overlay val="0"/>
          <c:spPr>
            <a:noFill/>
            <a:ln>
              <a:noFill/>
            </a:ln>
          </c:spPr>
        </c:title>
        <c:delete val="0"/>
        <c:numFmt formatCode="General" sourceLinked="1"/>
        <c:majorTickMark val="out"/>
        <c:minorTickMark val="none"/>
        <c:tickLblPos val="nextTo"/>
        <c:crossAx val="52946476"/>
        <c:crosses val="autoZero"/>
        <c:crossBetween val="midCat"/>
        <c:dispUnits/>
      </c:valAx>
      <c:valAx>
        <c:axId val="52946476"/>
        <c:scaling>
          <c:orientation val="minMax"/>
        </c:scaling>
        <c:axPos val="l"/>
        <c:title>
          <c:tx>
            <c:rich>
              <a:bodyPr vert="horz" rot="-5400000" anchor="ctr"/>
              <a:lstStyle/>
              <a:p>
                <a:pPr algn="ctr">
                  <a:defRPr/>
                </a:pPr>
                <a:r>
                  <a:rPr lang="en-US" cap="none" sz="850" b="1" i="0" u="none" baseline="0"/>
                  <a:t>Cumulated and discounted cash flows</a:t>
                </a:r>
              </a:p>
            </c:rich>
          </c:tx>
          <c:layout/>
          <c:overlay val="0"/>
          <c:spPr>
            <a:noFill/>
            <a:ln>
              <a:noFill/>
            </a:ln>
          </c:spPr>
        </c:title>
        <c:majorGridlines/>
        <c:delete val="0"/>
        <c:numFmt formatCode="General" sourceLinked="1"/>
        <c:majorTickMark val="out"/>
        <c:minorTickMark val="none"/>
        <c:tickLblPos val="nextTo"/>
        <c:crossAx val="86797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18"/>
          <c:order val="0"/>
          <c:tx>
            <c:strRef>
              <c:f>'Chapter 18'!$A$264</c:f>
              <c:strCache>
                <c:ptCount val="1"/>
                <c:pt idx="0">
                  <c:v>NPV</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'Chapter 18'!$B$249:$F$249</c:f>
              <c:numCache>
                <c:ptCount val="5"/>
                <c:pt idx="0">
                  <c:v>0</c:v>
                </c:pt>
                <c:pt idx="1">
                  <c:v>0</c:v>
                </c:pt>
                <c:pt idx="2">
                  <c:v>0</c:v>
                </c:pt>
                <c:pt idx="3">
                  <c:v>0</c:v>
                </c:pt>
                <c:pt idx="4">
                  <c:v>0</c:v>
                </c:pt>
              </c:numCache>
            </c:numRef>
          </c:xVal>
          <c:yVal>
            <c:numRef>
              <c:f>'Chapter 18'!$B$264:$F$264</c:f>
              <c:numCache>
                <c:ptCount val="5"/>
                <c:pt idx="0">
                  <c:v>0</c:v>
                </c:pt>
                <c:pt idx="1">
                  <c:v>0</c:v>
                </c:pt>
                <c:pt idx="2">
                  <c:v>0</c:v>
                </c:pt>
                <c:pt idx="3">
                  <c:v>0</c:v>
                </c:pt>
                <c:pt idx="4">
                  <c:v>0</c:v>
                </c:pt>
              </c:numCache>
            </c:numRef>
          </c:yVal>
          <c:smooth val="1"/>
        </c:ser>
        <c:axId val="8509565"/>
        <c:axId val="49321418"/>
      </c:scatterChart>
      <c:valAx>
        <c:axId val="8509565"/>
        <c:scaling>
          <c:orientation val="minMax"/>
        </c:scaling>
        <c:axPos val="b"/>
        <c:title>
          <c:tx>
            <c:rich>
              <a:bodyPr vert="horz" rot="0" anchor="ctr"/>
              <a:lstStyle/>
              <a:p>
                <a:pPr algn="ctr">
                  <a:defRPr/>
                </a:pPr>
                <a:r>
                  <a:rPr lang="en-US" cap="none" sz="800" b="1" i="0" u="none" baseline="0"/>
                  <a:t>Added days of credit</a:t>
                </a:r>
              </a:p>
            </c:rich>
          </c:tx>
          <c:layout/>
          <c:overlay val="0"/>
          <c:spPr>
            <a:noFill/>
            <a:ln>
              <a:noFill/>
            </a:ln>
          </c:spPr>
        </c:title>
        <c:delete val="0"/>
        <c:numFmt formatCode="General" sourceLinked="1"/>
        <c:majorTickMark val="out"/>
        <c:minorTickMark val="none"/>
        <c:tickLblPos val="nextTo"/>
        <c:crossAx val="49321418"/>
        <c:crosses val="autoZero"/>
        <c:crossBetween val="midCat"/>
        <c:dispUnits/>
      </c:valAx>
      <c:valAx>
        <c:axId val="49321418"/>
        <c:scaling>
          <c:orientation val="minMax"/>
        </c:scaling>
        <c:axPos val="l"/>
        <c:title>
          <c:tx>
            <c:rich>
              <a:bodyPr vert="horz" rot="-5400000" anchor="ctr"/>
              <a:lstStyle/>
              <a:p>
                <a:pPr algn="ctr">
                  <a:defRPr/>
                </a:pPr>
                <a:r>
                  <a:rPr lang="en-US" cap="none" sz="800" b="1" i="0" u="none" baseline="0"/>
                  <a:t>NPV</a:t>
                </a:r>
              </a:p>
            </c:rich>
          </c:tx>
          <c:layout/>
          <c:overlay val="0"/>
          <c:spPr>
            <a:noFill/>
            <a:ln>
              <a:noFill/>
            </a:ln>
          </c:spPr>
        </c:title>
        <c:majorGridlines/>
        <c:delete val="0"/>
        <c:numFmt formatCode="General" sourceLinked="1"/>
        <c:majorTickMark val="out"/>
        <c:minorTickMark val="none"/>
        <c:tickLblPos val="nextTo"/>
        <c:crossAx val="850956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635"/>
          <c:w val="0.926"/>
          <c:h val="0.7465"/>
        </c:manualLayout>
      </c:layout>
      <c:scatterChart>
        <c:scatterStyle val="smoothMarker"/>
        <c:varyColors val="0"/>
        <c:ser>
          <c:idx val="0"/>
          <c:order val="0"/>
          <c:tx>
            <c:strRef>
              <c:f>'Chapter 18'!$A$122</c:f>
              <c:strCache>
                <c:ptCount val="1"/>
                <c:pt idx="0">
                  <c:v>NPV</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'Chapter 18'!$B$121:$E$121</c:f>
              <c:numCache>
                <c:ptCount val="4"/>
                <c:pt idx="0">
                  <c:v>0</c:v>
                </c:pt>
                <c:pt idx="1">
                  <c:v>0</c:v>
                </c:pt>
                <c:pt idx="2">
                  <c:v>0</c:v>
                </c:pt>
                <c:pt idx="3">
                  <c:v>0</c:v>
                </c:pt>
              </c:numCache>
            </c:numRef>
          </c:xVal>
          <c:yVal>
            <c:numRef>
              <c:f>'Chapter 18'!$B$122:$E$122</c:f>
              <c:numCache>
                <c:ptCount val="4"/>
                <c:pt idx="0">
                  <c:v>0</c:v>
                </c:pt>
                <c:pt idx="1">
                  <c:v>0</c:v>
                </c:pt>
                <c:pt idx="2">
                  <c:v>0</c:v>
                </c:pt>
                <c:pt idx="3">
                  <c:v>0</c:v>
                </c:pt>
              </c:numCache>
            </c:numRef>
          </c:yVal>
          <c:smooth val="1"/>
        </c:ser>
        <c:axId val="55816483"/>
        <c:axId val="49362264"/>
      </c:scatterChart>
      <c:valAx>
        <c:axId val="55816483"/>
        <c:scaling>
          <c:orientation val="minMax"/>
          <c:min val="6000"/>
        </c:scaling>
        <c:axPos val="b"/>
        <c:title>
          <c:tx>
            <c:rich>
              <a:bodyPr vert="horz" rot="0" anchor="ctr"/>
              <a:lstStyle/>
              <a:p>
                <a:pPr algn="ctr">
                  <a:defRPr/>
                </a:pPr>
                <a:r>
                  <a:rPr lang="en-US" cap="none" sz="575" b="1" i="0" u="none" baseline="0"/>
                  <a:t>Nbre of units/ year</a:t>
                </a:r>
              </a:p>
            </c:rich>
          </c:tx>
          <c:layout/>
          <c:overlay val="0"/>
          <c:spPr>
            <a:noFill/>
            <a:ln>
              <a:noFill/>
            </a:ln>
          </c:spPr>
        </c:title>
        <c:delete val="0"/>
        <c:numFmt formatCode="General" sourceLinked="1"/>
        <c:majorTickMark val="out"/>
        <c:minorTickMark val="none"/>
        <c:tickLblPos val="nextTo"/>
        <c:crossAx val="49362264"/>
        <c:crosses val="autoZero"/>
        <c:crossBetween val="midCat"/>
        <c:dispUnits/>
      </c:valAx>
      <c:valAx>
        <c:axId val="49362264"/>
        <c:scaling>
          <c:orientation val="minMax"/>
        </c:scaling>
        <c:axPos val="l"/>
        <c:title>
          <c:tx>
            <c:rich>
              <a:bodyPr vert="horz" rot="-5400000" anchor="ctr"/>
              <a:lstStyle/>
              <a:p>
                <a:pPr algn="ctr">
                  <a:defRPr/>
                </a:pPr>
                <a:r>
                  <a:rPr lang="en-US" cap="none" sz="575" b="1" i="0" u="none" baseline="0"/>
                  <a:t>NPV</a:t>
                </a:r>
              </a:p>
            </c:rich>
          </c:tx>
          <c:layout/>
          <c:overlay val="0"/>
          <c:spPr>
            <a:noFill/>
            <a:ln>
              <a:noFill/>
            </a:ln>
          </c:spPr>
        </c:title>
        <c:majorGridlines/>
        <c:delete val="0"/>
        <c:numFmt formatCode="General" sourceLinked="1"/>
        <c:majorTickMark val="out"/>
        <c:minorTickMark val="none"/>
        <c:tickLblPos val="nextTo"/>
        <c:crossAx val="5581648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14"/>
          <c:order val="0"/>
          <c:tx>
            <c:strRef>
              <c:f>'Chapter 18'!$A$300</c:f>
              <c:strCache>
                <c:ptCount val="1"/>
                <c:pt idx="0">
                  <c:v>NPV</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numRef>
              <c:f>'Chapter 18'!$B$287:$F$287</c:f>
              <c:numCache>
                <c:ptCount val="5"/>
                <c:pt idx="0">
                  <c:v>0</c:v>
                </c:pt>
                <c:pt idx="1">
                  <c:v>0</c:v>
                </c:pt>
                <c:pt idx="2">
                  <c:v>0</c:v>
                </c:pt>
                <c:pt idx="3">
                  <c:v>0</c:v>
                </c:pt>
                <c:pt idx="4">
                  <c:v>0</c:v>
                </c:pt>
              </c:numCache>
            </c:numRef>
          </c:xVal>
          <c:yVal>
            <c:numRef>
              <c:f>'Chapter 18'!$B$300:$F$300</c:f>
              <c:numCache>
                <c:ptCount val="5"/>
                <c:pt idx="0">
                  <c:v>0</c:v>
                </c:pt>
                <c:pt idx="1">
                  <c:v>0</c:v>
                </c:pt>
                <c:pt idx="2">
                  <c:v>0</c:v>
                </c:pt>
                <c:pt idx="3">
                  <c:v>0</c:v>
                </c:pt>
                <c:pt idx="4">
                  <c:v>0</c:v>
                </c:pt>
              </c:numCache>
            </c:numRef>
          </c:yVal>
          <c:smooth val="1"/>
        </c:ser>
        <c:axId val="58308089"/>
        <c:axId val="23638"/>
      </c:scatterChart>
      <c:valAx>
        <c:axId val="58308089"/>
        <c:scaling>
          <c:orientation val="minMax"/>
        </c:scaling>
        <c:axPos val="b"/>
        <c:title>
          <c:tx>
            <c:rich>
              <a:bodyPr vert="horz" rot="0" anchor="ctr"/>
              <a:lstStyle/>
              <a:p>
                <a:pPr algn="ctr">
                  <a:defRPr/>
                </a:pPr>
                <a:r>
                  <a:rPr lang="en-US" cap="none" sz="800" b="1" i="0" u="none" baseline="0"/>
                  <a:t>Added days of credit</a:t>
                </a:r>
              </a:p>
            </c:rich>
          </c:tx>
          <c:layout/>
          <c:overlay val="0"/>
          <c:spPr>
            <a:noFill/>
            <a:ln>
              <a:noFill/>
            </a:ln>
          </c:spPr>
        </c:title>
        <c:delete val="0"/>
        <c:numFmt formatCode="General" sourceLinked="1"/>
        <c:majorTickMark val="out"/>
        <c:minorTickMark val="none"/>
        <c:tickLblPos val="nextTo"/>
        <c:crossAx val="23638"/>
        <c:crosses val="autoZero"/>
        <c:crossBetween val="midCat"/>
        <c:dispUnits/>
      </c:valAx>
      <c:valAx>
        <c:axId val="23638"/>
        <c:scaling>
          <c:orientation val="minMax"/>
        </c:scaling>
        <c:axPos val="l"/>
        <c:title>
          <c:tx>
            <c:rich>
              <a:bodyPr vert="horz" rot="-5400000" anchor="ctr"/>
              <a:lstStyle/>
              <a:p>
                <a:pPr algn="ctr">
                  <a:defRPr/>
                </a:pPr>
                <a:r>
                  <a:rPr lang="en-US" cap="none" sz="800" b="1" i="0" u="none" baseline="0"/>
                  <a:t>NPV</a:t>
                </a:r>
              </a:p>
            </c:rich>
          </c:tx>
          <c:layout/>
          <c:overlay val="0"/>
          <c:spPr>
            <a:noFill/>
            <a:ln>
              <a:noFill/>
            </a:ln>
          </c:spPr>
        </c:title>
        <c:majorGridlines/>
        <c:delete val="0"/>
        <c:numFmt formatCode="General" sourceLinked="1"/>
        <c:majorTickMark val="out"/>
        <c:minorTickMark val="none"/>
        <c:tickLblPos val="nextTo"/>
        <c:crossAx val="5830808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'Chapter 19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19 '!#REF!</c:f>
              <c:strCache>
                <c:ptCount val="1"/>
                <c:pt idx="0">
                  <c:v>0</c:v>
                </c:pt>
              </c:strCache>
            </c:strRef>
          </c:xVal>
          <c:yVal>
            <c:numRef>
              <c:f>'Chapter 19 '!#REF!</c:f>
              <c:numCache>
                <c:ptCount val="1"/>
                <c:pt idx="0">
                  <c:v>0</c:v>
                </c:pt>
              </c:numCache>
            </c:numRef>
          </c:yVal>
          <c:smooth val="1"/>
        </c:ser>
        <c:axId val="1441919"/>
        <c:axId val="20848196"/>
      </c:scatterChart>
      <c:valAx>
        <c:axId val="1441919"/>
        <c:scaling>
          <c:orientation val="minMax"/>
        </c:scaling>
        <c:axPos val="b"/>
        <c:delete val="0"/>
        <c:numFmt formatCode="General" sourceLinked="1"/>
        <c:majorTickMark val="out"/>
        <c:minorTickMark val="none"/>
        <c:tickLblPos val="nextTo"/>
        <c:crossAx val="20848196"/>
        <c:crosses val="autoZero"/>
        <c:crossBetween val="midCat"/>
        <c:dispUnits/>
      </c:valAx>
      <c:valAx>
        <c:axId val="20848196"/>
        <c:scaling>
          <c:orientation val="minMax"/>
        </c:scaling>
        <c:axPos val="l"/>
        <c:majorGridlines/>
        <c:delete val="0"/>
        <c:numFmt formatCode="General" sourceLinked="1"/>
        <c:majorTickMark val="out"/>
        <c:minorTickMark val="none"/>
        <c:tickLblPos val="nextTo"/>
        <c:crossAx val="144191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'Chapter 19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19 '!#REF!</c:f>
              <c:strCache>
                <c:ptCount val="1"/>
                <c:pt idx="0">
                  <c:v>0</c:v>
                </c:pt>
              </c:strCache>
            </c:strRef>
          </c:xVal>
          <c:yVal>
            <c:numRef>
              <c:f>'Chapter 19 '!#REF!</c:f>
              <c:numCache>
                <c:ptCount val="1"/>
                <c:pt idx="0">
                  <c:v>0</c:v>
                </c:pt>
              </c:numCache>
            </c:numRef>
          </c:yVal>
          <c:smooth val="1"/>
        </c:ser>
        <c:axId val="63780405"/>
        <c:axId val="65399458"/>
      </c:scatterChart>
      <c:valAx>
        <c:axId val="63780405"/>
        <c:scaling>
          <c:orientation val="minMax"/>
        </c:scaling>
        <c:axPos val="b"/>
        <c:delete val="0"/>
        <c:numFmt formatCode="General" sourceLinked="1"/>
        <c:majorTickMark val="out"/>
        <c:minorTickMark val="none"/>
        <c:tickLblPos val="nextTo"/>
        <c:crossAx val="65399458"/>
        <c:crosses val="autoZero"/>
        <c:crossBetween val="midCat"/>
        <c:dispUnits/>
      </c:valAx>
      <c:valAx>
        <c:axId val="65399458"/>
        <c:scaling>
          <c:orientation val="minMax"/>
        </c:scaling>
        <c:axPos val="l"/>
        <c:majorGridlines/>
        <c:delete val="0"/>
        <c:numFmt formatCode="General" sourceLinked="1"/>
        <c:majorTickMark val="out"/>
        <c:minorTickMark val="none"/>
        <c:tickLblPos val="nextTo"/>
        <c:crossAx val="6378040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'Chapter 20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20 '!#REF!</c:f>
              <c:strCache>
                <c:ptCount val="1"/>
                <c:pt idx="0">
                  <c:v>0</c:v>
                </c:pt>
              </c:strCache>
            </c:strRef>
          </c:xVal>
          <c:yVal>
            <c:numRef>
              <c:f>'Chapter 20 '!#REF!</c:f>
              <c:numCache>
                <c:ptCount val="1"/>
                <c:pt idx="0">
                  <c:v>0</c:v>
                </c:pt>
              </c:numCache>
            </c:numRef>
          </c:yVal>
          <c:smooth val="1"/>
        </c:ser>
        <c:axId val="29943963"/>
        <c:axId val="14642416"/>
      </c:scatterChart>
      <c:valAx>
        <c:axId val="29943963"/>
        <c:scaling>
          <c:orientation val="minMax"/>
        </c:scaling>
        <c:axPos val="b"/>
        <c:delete val="0"/>
        <c:numFmt formatCode="General" sourceLinked="1"/>
        <c:majorTickMark val="out"/>
        <c:minorTickMark val="none"/>
        <c:tickLblPos val="nextTo"/>
        <c:crossAx val="14642416"/>
        <c:crosses val="autoZero"/>
        <c:crossBetween val="midCat"/>
        <c:dispUnits/>
      </c:valAx>
      <c:valAx>
        <c:axId val="14642416"/>
        <c:scaling>
          <c:orientation val="minMax"/>
        </c:scaling>
        <c:axPos val="l"/>
        <c:majorGridlines/>
        <c:delete val="0"/>
        <c:numFmt formatCode="General" sourceLinked="1"/>
        <c:majorTickMark val="out"/>
        <c:minorTickMark val="none"/>
        <c:tickLblPos val="nextTo"/>
        <c:crossAx val="2994396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'Chapter 20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20 '!#REF!</c:f>
              <c:strCache>
                <c:ptCount val="1"/>
                <c:pt idx="0">
                  <c:v>0</c:v>
                </c:pt>
              </c:strCache>
            </c:strRef>
          </c:xVal>
          <c:yVal>
            <c:numRef>
              <c:f>'Chapter 20 '!#REF!</c:f>
              <c:numCache>
                <c:ptCount val="1"/>
                <c:pt idx="0">
                  <c:v>0</c:v>
                </c:pt>
              </c:numCache>
            </c:numRef>
          </c:yVal>
          <c:smooth val="1"/>
        </c:ser>
        <c:axId val="20772145"/>
        <c:axId val="59141294"/>
      </c:scatterChart>
      <c:valAx>
        <c:axId val="20772145"/>
        <c:scaling>
          <c:orientation val="minMax"/>
        </c:scaling>
        <c:axPos val="b"/>
        <c:delete val="0"/>
        <c:numFmt formatCode="General" sourceLinked="1"/>
        <c:majorTickMark val="out"/>
        <c:minorTickMark val="none"/>
        <c:tickLblPos val="nextTo"/>
        <c:crossAx val="59141294"/>
        <c:crosses val="autoZero"/>
        <c:crossBetween val="midCat"/>
        <c:dispUnits/>
      </c:valAx>
      <c:valAx>
        <c:axId val="59141294"/>
        <c:scaling>
          <c:orientation val="minMax"/>
        </c:scaling>
        <c:axPos val="l"/>
        <c:majorGridlines/>
        <c:delete val="0"/>
        <c:numFmt formatCode="General" sourceLinked="1"/>
        <c:majorTickMark val="out"/>
        <c:minorTickMark val="none"/>
        <c:tickLblPos val="nextTo"/>
        <c:crossAx val="2077214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Portfolio AL,P</a:t>
            </a:r>
          </a:p>
        </c:rich>
      </c:tx>
      <c:layout/>
      <c:spPr>
        <a:noFill/>
        <a:ln>
          <a:noFill/>
        </a:ln>
      </c:spPr>
    </c:title>
    <c:plotArea>
      <c:layout/>
      <c:scatterChart>
        <c:scatterStyle val="smoothMarker"/>
        <c:varyColors val="0"/>
        <c:ser>
          <c:idx val="0"/>
          <c:order val="0"/>
          <c:tx>
            <c:strRef>
              <c:f>'Chapter 21'!$A$54</c:f>
              <c:strCache>
                <c:ptCount val="1"/>
                <c:pt idx="0">
                  <c:v>E(r AL,P)</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'Chapter 21'!$B$53:$L$53</c:f>
              <c:numCache>
                <c:ptCount val="11"/>
                <c:pt idx="0">
                  <c:v>0</c:v>
                </c:pt>
                <c:pt idx="1">
                  <c:v>0</c:v>
                </c:pt>
                <c:pt idx="2">
                  <c:v>0</c:v>
                </c:pt>
                <c:pt idx="3">
                  <c:v>0</c:v>
                </c:pt>
                <c:pt idx="4">
                  <c:v>0</c:v>
                </c:pt>
                <c:pt idx="5">
                  <c:v>0</c:v>
                </c:pt>
                <c:pt idx="6">
                  <c:v>0</c:v>
                </c:pt>
                <c:pt idx="7">
                  <c:v>0</c:v>
                </c:pt>
                <c:pt idx="8">
                  <c:v>0</c:v>
                </c:pt>
                <c:pt idx="9">
                  <c:v>0</c:v>
                </c:pt>
                <c:pt idx="10">
                  <c:v>0</c:v>
                </c:pt>
              </c:numCache>
            </c:numRef>
          </c:xVal>
          <c:yVal>
            <c:numRef>
              <c:f>'Chapter 21'!$B$54:$L$54</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50849143"/>
        <c:axId val="14789980"/>
      </c:scatterChart>
      <c:valAx>
        <c:axId val="50849143"/>
        <c:scaling>
          <c:orientation val="minMax"/>
        </c:scaling>
        <c:axPos val="b"/>
        <c:title>
          <c:tx>
            <c:rich>
              <a:bodyPr vert="horz" rot="0" anchor="ctr"/>
              <a:lstStyle/>
              <a:p>
                <a:pPr algn="ctr">
                  <a:defRPr/>
                </a:pPr>
                <a:r>
                  <a:rPr lang="en-US" cap="none" sz="950" b="1" i="0" u="none" baseline="0"/>
                  <a:t>σ AL,P</a:t>
                </a:r>
              </a:p>
            </c:rich>
          </c:tx>
          <c:layout/>
          <c:overlay val="0"/>
          <c:spPr>
            <a:noFill/>
            <a:ln>
              <a:noFill/>
            </a:ln>
          </c:spPr>
        </c:title>
        <c:delete val="0"/>
        <c:numFmt formatCode="General" sourceLinked="1"/>
        <c:majorTickMark val="out"/>
        <c:minorTickMark val="none"/>
        <c:tickLblPos val="nextTo"/>
        <c:crossAx val="14789980"/>
        <c:crosses val="autoZero"/>
        <c:crossBetween val="midCat"/>
        <c:dispUnits/>
      </c:valAx>
      <c:valAx>
        <c:axId val="14789980"/>
        <c:scaling>
          <c:orientation val="minMax"/>
        </c:scaling>
        <c:axPos val="l"/>
        <c:title>
          <c:tx>
            <c:rich>
              <a:bodyPr vert="horz" rot="-5400000" anchor="ctr"/>
              <a:lstStyle/>
              <a:p>
                <a:pPr algn="ctr">
                  <a:defRPr/>
                </a:pPr>
                <a:r>
                  <a:rPr lang="en-US" cap="none" sz="950" b="1" i="0" u="none" baseline="0"/>
                  <a:t>E(r AL,P)</a:t>
                </a:r>
              </a:p>
            </c:rich>
          </c:tx>
          <c:layout/>
          <c:overlay val="0"/>
          <c:spPr>
            <a:noFill/>
            <a:ln>
              <a:noFill/>
            </a:ln>
          </c:spPr>
        </c:title>
        <c:majorGridlines/>
        <c:delete val="0"/>
        <c:numFmt formatCode="General" sourceLinked="1"/>
        <c:majorTickMark val="out"/>
        <c:minorTickMark val="none"/>
        <c:tickLblPos val="nextTo"/>
        <c:crossAx val="5084914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Comparison of NPV</a:t>
            </a:r>
          </a:p>
        </c:rich>
      </c:tx>
      <c:layout/>
      <c:spPr>
        <a:noFill/>
        <a:ln>
          <a:noFill/>
        </a:ln>
      </c:spPr>
    </c:title>
    <c:plotArea>
      <c:layout>
        <c:manualLayout>
          <c:xMode val="edge"/>
          <c:yMode val="edge"/>
          <c:x val="0.032"/>
          <c:y val="0.125"/>
          <c:w val="0.82325"/>
          <c:h val="0.76675"/>
        </c:manualLayout>
      </c:layout>
      <c:scatterChart>
        <c:scatterStyle val="smooth"/>
        <c:varyColors val="0"/>
        <c:ser>
          <c:idx val="0"/>
          <c:order val="0"/>
          <c:tx>
            <c:strRef>
              <c:f>Chapter17!$A$47</c:f>
              <c:strCache>
                <c:ptCount val="1"/>
                <c:pt idx="0">
                  <c:v>NPV Investment 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Chapter17!$B$46:$N$46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Chapter17!$B$47:$N$47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Chapter17!$A$48</c:f>
              <c:strCache>
                <c:ptCount val="1"/>
                <c:pt idx="0">
                  <c:v>NPV Investment B</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Chapter17!$B$46:$N$46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Chapter17!$B$48:$N$48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733521"/>
        <c:axId val="20309326"/>
      </c:scatterChart>
      <c:valAx>
        <c:axId val="4733521"/>
        <c:scaling>
          <c:orientation val="minMax"/>
          <c:min val="0.08"/>
        </c:scaling>
        <c:axPos val="b"/>
        <c:title>
          <c:tx>
            <c:rich>
              <a:bodyPr vert="horz" rot="0" anchor="ctr"/>
              <a:lstStyle/>
              <a:p>
                <a:pPr algn="ctr">
                  <a:defRPr/>
                </a:pPr>
                <a:r>
                  <a:rPr lang="en-US" cap="none" sz="800" b="1" i="0" u="none" baseline="0"/>
                  <a:t>Rate</a:t>
                </a:r>
              </a:p>
            </c:rich>
          </c:tx>
          <c:layout>
            <c:manualLayout>
              <c:xMode val="factor"/>
              <c:yMode val="factor"/>
              <c:x val="-0.02475"/>
              <c:y val="0"/>
            </c:manualLayout>
          </c:layout>
          <c:overlay val="0"/>
          <c:spPr>
            <a:noFill/>
            <a:ln>
              <a:noFill/>
            </a:ln>
          </c:spPr>
        </c:title>
        <c:delete val="0"/>
        <c:numFmt formatCode="General" sourceLinked="1"/>
        <c:majorTickMark val="out"/>
        <c:minorTickMark val="none"/>
        <c:tickLblPos val="nextTo"/>
        <c:crossAx val="20309326"/>
        <c:crosses val="autoZero"/>
        <c:crossBetween val="midCat"/>
        <c:dispUnits/>
      </c:valAx>
      <c:valAx>
        <c:axId val="20309326"/>
        <c:scaling>
          <c:orientation val="minMax"/>
        </c:scaling>
        <c:axPos val="l"/>
        <c:title>
          <c:tx>
            <c:rich>
              <a:bodyPr vert="horz" rot="-5400000" anchor="ctr"/>
              <a:lstStyle/>
              <a:p>
                <a:pPr algn="ctr">
                  <a:defRPr/>
                </a:pPr>
                <a:r>
                  <a:rPr lang="en-US" cap="none" sz="800" b="1" i="0" u="none" baseline="0"/>
                  <a:t>NPV</a:t>
                </a:r>
              </a:p>
            </c:rich>
          </c:tx>
          <c:layout/>
          <c:overlay val="0"/>
          <c:spPr>
            <a:noFill/>
            <a:ln>
              <a:noFill/>
            </a:ln>
          </c:spPr>
        </c:title>
        <c:majorGridlines/>
        <c:delete val="0"/>
        <c:numFmt formatCode="General" sourceLinked="1"/>
        <c:majorTickMark val="out"/>
        <c:minorTickMark val="none"/>
        <c:tickLblPos val="nextTo"/>
        <c:crossAx val="4733521"/>
        <c:crosses val="autoZero"/>
        <c:crossBetween val="midCat"/>
        <c:dispUnits/>
      </c:valAx>
      <c:spPr>
        <a:solidFill>
          <a:srgbClr val="FFFFFF"/>
        </a:solidFill>
        <a:ln w="12700">
          <a:solidFill>
            <a:srgbClr val="808080"/>
          </a:solidFill>
        </a:ln>
      </c:spPr>
    </c:plotArea>
    <c:legend>
      <c:legendPos val="r"/>
      <c:layout>
        <c:manualLayout>
          <c:xMode val="edge"/>
          <c:yMode val="edge"/>
          <c:x val="0.86375"/>
          <c:y val="0.34175"/>
        </c:manualLayout>
      </c:layout>
      <c:overlay val="0"/>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'Chapter 21'!$A$83</c:f>
              <c:strCache>
                <c:ptCount val="1"/>
                <c:pt idx="0">
                  <c:v>Expected return</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'Chapter 21'!$C$82:$H$82</c:f>
              <c:numCache>
                <c:ptCount val="6"/>
                <c:pt idx="0">
                  <c:v>0</c:v>
                </c:pt>
                <c:pt idx="1">
                  <c:v>0</c:v>
                </c:pt>
                <c:pt idx="2">
                  <c:v>0</c:v>
                </c:pt>
                <c:pt idx="3">
                  <c:v>0</c:v>
                </c:pt>
                <c:pt idx="4">
                  <c:v>0</c:v>
                </c:pt>
                <c:pt idx="5">
                  <c:v>0</c:v>
                </c:pt>
              </c:numCache>
            </c:numRef>
          </c:xVal>
          <c:yVal>
            <c:numRef>
              <c:f>'Chapter 21'!$C$83:$H$83</c:f>
              <c:numCache>
                <c:ptCount val="6"/>
                <c:pt idx="0">
                  <c:v>0</c:v>
                </c:pt>
                <c:pt idx="1">
                  <c:v>0</c:v>
                </c:pt>
                <c:pt idx="2">
                  <c:v>0</c:v>
                </c:pt>
                <c:pt idx="3">
                  <c:v>0</c:v>
                </c:pt>
                <c:pt idx="4">
                  <c:v>0</c:v>
                </c:pt>
                <c:pt idx="5">
                  <c:v>0</c:v>
                </c:pt>
              </c:numCache>
            </c:numRef>
          </c:yVal>
          <c:smooth val="1"/>
        </c:ser>
        <c:axId val="29773549"/>
        <c:axId val="4247162"/>
      </c:scatterChart>
      <c:valAx>
        <c:axId val="29773549"/>
        <c:scaling>
          <c:orientation val="minMax"/>
        </c:scaling>
        <c:axPos val="b"/>
        <c:title>
          <c:tx>
            <c:rich>
              <a:bodyPr vert="horz" rot="0" anchor="ctr"/>
              <a:lstStyle/>
              <a:p>
                <a:pPr algn="ctr">
                  <a:defRPr/>
                </a:pPr>
                <a:r>
                  <a:rPr lang="en-US" cap="none" sz="1025" b="1" i="0" u="none" baseline="0"/>
                  <a:t>Standard deviation</a:t>
                </a:r>
              </a:p>
            </c:rich>
          </c:tx>
          <c:layout/>
          <c:overlay val="0"/>
          <c:spPr>
            <a:noFill/>
            <a:ln>
              <a:noFill/>
            </a:ln>
          </c:spPr>
        </c:title>
        <c:delete val="0"/>
        <c:numFmt formatCode="General" sourceLinked="1"/>
        <c:majorTickMark val="out"/>
        <c:minorTickMark val="none"/>
        <c:tickLblPos val="nextTo"/>
        <c:crossAx val="4247162"/>
        <c:crosses val="autoZero"/>
        <c:crossBetween val="midCat"/>
        <c:dispUnits/>
      </c:valAx>
      <c:valAx>
        <c:axId val="4247162"/>
        <c:scaling>
          <c:orientation val="minMax"/>
        </c:scaling>
        <c:axPos val="l"/>
        <c:title>
          <c:tx>
            <c:rich>
              <a:bodyPr vert="horz" rot="-5400000" anchor="ctr"/>
              <a:lstStyle/>
              <a:p>
                <a:pPr algn="ctr">
                  <a:defRPr/>
                </a:pPr>
                <a:r>
                  <a:rPr lang="en-US" cap="none" sz="1025" b="1" i="0" u="none" baseline="0"/>
                  <a:t>Expected return</a:t>
                </a:r>
              </a:p>
            </c:rich>
          </c:tx>
          <c:layout/>
          <c:overlay val="0"/>
          <c:spPr>
            <a:noFill/>
            <a:ln>
              <a:noFill/>
            </a:ln>
          </c:spPr>
        </c:title>
        <c:majorGridlines/>
        <c:delete val="0"/>
        <c:numFmt formatCode="General" sourceLinked="1"/>
        <c:majorTickMark val="out"/>
        <c:minorTickMark val="none"/>
        <c:tickLblPos val="nextTo"/>
        <c:crossAx val="2977354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'Chapter 22'!#REF!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22'!#REF!</c:f>
              <c:strCache>
                <c:ptCount val="1"/>
                <c:pt idx="0">
                  <c:v>1</c:v>
                </c:pt>
              </c:strCache>
            </c:strRef>
          </c:xVal>
          <c:yVal>
            <c:numRef>
              <c:f>'Chapter 22'!#REF!</c:f>
              <c:numCache>
                <c:ptCount val="1"/>
                <c:pt idx="0">
                  <c:v>1</c:v>
                </c:pt>
              </c:numCache>
            </c:numRef>
          </c:yVal>
          <c:smooth val="1"/>
        </c:ser>
        <c:axId val="57750291"/>
        <c:axId val="33106824"/>
      </c:scatterChart>
      <c:valAx>
        <c:axId val="57750291"/>
        <c:scaling>
          <c:orientation val="minMax"/>
        </c:scaling>
        <c:axPos val="b"/>
        <c:title>
          <c:tx>
            <c:rich>
              <a:bodyPr vert="horz" rot="0" anchor="ctr"/>
              <a:lstStyle/>
              <a:p>
                <a:pPr algn="ctr">
                  <a:defRPr/>
                </a:pPr>
                <a:r>
                  <a:rPr lang="en-US" cap="none" sz="150" b="1" i="0" u="none" baseline="0"/>
                  <a:t>σ B,S</a:t>
                </a:r>
              </a:p>
            </c:rich>
          </c:tx>
          <c:layout/>
          <c:overlay val="0"/>
          <c:spPr>
            <a:noFill/>
            <a:ln>
              <a:noFill/>
            </a:ln>
          </c:spPr>
        </c:title>
        <c:delete val="0"/>
        <c:numFmt formatCode="General" sourceLinked="1"/>
        <c:majorTickMark val="out"/>
        <c:minorTickMark val="none"/>
        <c:tickLblPos val="nextTo"/>
        <c:crossAx val="33106824"/>
        <c:crosses val="autoZero"/>
        <c:crossBetween val="midCat"/>
        <c:dispUnits/>
      </c:valAx>
      <c:valAx>
        <c:axId val="33106824"/>
        <c:scaling>
          <c:orientation val="minMax"/>
        </c:scaling>
        <c:axPos val="l"/>
        <c:title>
          <c:tx>
            <c:rich>
              <a:bodyPr vert="horz" rot="-5400000" anchor="ctr"/>
              <a:lstStyle/>
              <a:p>
                <a:pPr algn="ctr">
                  <a:defRPr/>
                </a:pPr>
                <a:r>
                  <a:rPr lang="en-US" cap="none" sz="150" b="1" i="0" u="none" baseline="0"/>
                  <a:t>E(r B,S)</a:t>
                </a:r>
              </a:p>
            </c:rich>
          </c:tx>
          <c:layout/>
          <c:overlay val="0"/>
          <c:spPr>
            <a:noFill/>
            <a:ln>
              <a:noFill/>
            </a:ln>
          </c:spPr>
        </c:title>
        <c:majorGridlines/>
        <c:delete val="0"/>
        <c:numFmt formatCode="General" sourceLinked="1"/>
        <c:majorTickMark val="out"/>
        <c:minorTickMark val="none"/>
        <c:tickLblPos val="nextTo"/>
        <c:crossAx val="5775029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'Chapter 22'!#REF!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22'!#REF!</c:f>
              <c:strCache>
                <c:ptCount val="1"/>
                <c:pt idx="0">
                  <c:v>1</c:v>
                </c:pt>
              </c:strCache>
            </c:strRef>
          </c:xVal>
          <c:yVal>
            <c:numRef>
              <c:f>'Chapter 22'!#REF!</c:f>
              <c:numCache>
                <c:ptCount val="1"/>
                <c:pt idx="0">
                  <c:v>1</c:v>
                </c:pt>
              </c:numCache>
            </c:numRef>
          </c:yVal>
          <c:smooth val="1"/>
        </c:ser>
        <c:axId val="6250345"/>
        <c:axId val="45726726"/>
      </c:scatterChart>
      <c:valAx>
        <c:axId val="6250345"/>
        <c:scaling>
          <c:orientation val="minMax"/>
        </c:scaling>
        <c:axPos val="b"/>
        <c:title>
          <c:tx>
            <c:rich>
              <a:bodyPr vert="horz" rot="0" anchor="ctr"/>
              <a:lstStyle/>
              <a:p>
                <a:pPr algn="ctr">
                  <a:defRPr/>
                </a:pPr>
                <a:r>
                  <a:rPr lang="en-US" cap="none" sz="150" b="1" i="0" u="none" baseline="0"/>
                  <a:t>Ecart-type</a:t>
                </a:r>
              </a:p>
            </c:rich>
          </c:tx>
          <c:layout/>
          <c:overlay val="0"/>
          <c:spPr>
            <a:noFill/>
            <a:ln>
              <a:noFill/>
            </a:ln>
          </c:spPr>
        </c:title>
        <c:delete val="0"/>
        <c:numFmt formatCode="General" sourceLinked="1"/>
        <c:majorTickMark val="out"/>
        <c:minorTickMark val="none"/>
        <c:tickLblPos val="nextTo"/>
        <c:crossAx val="45726726"/>
        <c:crosses val="autoZero"/>
        <c:crossBetween val="midCat"/>
        <c:dispUnits/>
      </c:valAx>
      <c:valAx>
        <c:axId val="45726726"/>
        <c:scaling>
          <c:orientation val="minMax"/>
        </c:scaling>
        <c:axPos val="l"/>
        <c:title>
          <c:tx>
            <c:rich>
              <a:bodyPr vert="horz" rot="-5400000" anchor="ctr"/>
              <a:lstStyle/>
              <a:p>
                <a:pPr algn="ctr">
                  <a:defRPr/>
                </a:pPr>
                <a:r>
                  <a:rPr lang="en-US" cap="none" sz="150" b="1" i="0" u="none" baseline="0"/>
                  <a:t>Rentabilité attendue</a:t>
                </a:r>
              </a:p>
            </c:rich>
          </c:tx>
          <c:layout/>
          <c:overlay val="0"/>
          <c:spPr>
            <a:noFill/>
            <a:ln>
              <a:noFill/>
            </a:ln>
          </c:spPr>
        </c:title>
        <c:majorGridlines/>
        <c:delete val="0"/>
        <c:numFmt formatCode="General" sourceLinked="1"/>
        <c:majorTickMark val="out"/>
        <c:minorTickMark val="none"/>
        <c:tickLblPos val="nextTo"/>
        <c:crossAx val="625034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 Chapter 23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Chapter 23 '!#REF!</c:f>
              <c:strCache>
                <c:ptCount val="1"/>
                <c:pt idx="0">
                  <c:v>0</c:v>
                </c:pt>
              </c:strCache>
            </c:strRef>
          </c:xVal>
          <c:yVal>
            <c:numRef>
              <c:f>' Chapter 23 '!#REF!</c:f>
              <c:numCache>
                <c:ptCount val="1"/>
                <c:pt idx="0">
                  <c:v>0</c:v>
                </c:pt>
              </c:numCache>
            </c:numRef>
          </c:yVal>
          <c:smooth val="1"/>
        </c:ser>
        <c:axId val="37866863"/>
        <c:axId val="28177268"/>
      </c:scatterChart>
      <c:valAx>
        <c:axId val="37866863"/>
        <c:scaling>
          <c:orientation val="minMax"/>
        </c:scaling>
        <c:axPos val="b"/>
        <c:delete val="0"/>
        <c:numFmt formatCode="General" sourceLinked="1"/>
        <c:majorTickMark val="out"/>
        <c:minorTickMark val="none"/>
        <c:tickLblPos val="nextTo"/>
        <c:crossAx val="28177268"/>
        <c:crosses val="autoZero"/>
        <c:crossBetween val="midCat"/>
        <c:dispUnits/>
      </c:valAx>
      <c:valAx>
        <c:axId val="28177268"/>
        <c:scaling>
          <c:orientation val="minMax"/>
        </c:scaling>
        <c:axPos val="l"/>
        <c:majorGridlines/>
        <c:delete val="0"/>
        <c:numFmt formatCode="General" sourceLinked="1"/>
        <c:majorTickMark val="out"/>
        <c:minorTickMark val="none"/>
        <c:tickLblPos val="nextTo"/>
        <c:crossAx val="3786686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 Chapter 23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Chapter 23 '!#REF!</c:f>
              <c:strCache>
                <c:ptCount val="1"/>
                <c:pt idx="0">
                  <c:v>0</c:v>
                </c:pt>
              </c:strCache>
            </c:strRef>
          </c:xVal>
          <c:yVal>
            <c:numRef>
              <c:f>' Chapter 23 '!#REF!</c:f>
              <c:numCache>
                <c:ptCount val="1"/>
                <c:pt idx="0">
                  <c:v>0</c:v>
                </c:pt>
              </c:numCache>
            </c:numRef>
          </c:yVal>
          <c:smooth val="1"/>
        </c:ser>
        <c:axId val="41091749"/>
        <c:axId val="23568722"/>
      </c:scatterChart>
      <c:valAx>
        <c:axId val="41091749"/>
        <c:scaling>
          <c:orientation val="minMax"/>
        </c:scaling>
        <c:axPos val="b"/>
        <c:delete val="0"/>
        <c:numFmt formatCode="General" sourceLinked="1"/>
        <c:majorTickMark val="out"/>
        <c:minorTickMark val="none"/>
        <c:tickLblPos val="nextTo"/>
        <c:crossAx val="23568722"/>
        <c:crosses val="autoZero"/>
        <c:crossBetween val="midCat"/>
        <c:dispUnits/>
      </c:valAx>
      <c:valAx>
        <c:axId val="23568722"/>
        <c:scaling>
          <c:orientation val="minMax"/>
        </c:scaling>
        <c:axPos val="l"/>
        <c:majorGridlines/>
        <c:delete val="0"/>
        <c:numFmt formatCode="General" sourceLinked="1"/>
        <c:majorTickMark val="out"/>
        <c:minorTickMark val="none"/>
        <c:tickLblPos val="nextTo"/>
        <c:crossAx val="4109174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'Chapter 28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28 '!#REF!</c:f>
              <c:strCache>
                <c:ptCount val="1"/>
                <c:pt idx="0">
                  <c:v>0</c:v>
                </c:pt>
              </c:strCache>
            </c:strRef>
          </c:xVal>
          <c:yVal>
            <c:numRef>
              <c:f>'Chapter 28 '!#REF!</c:f>
              <c:numCache>
                <c:ptCount val="1"/>
                <c:pt idx="0">
                  <c:v>0</c:v>
                </c:pt>
              </c:numCache>
            </c:numRef>
          </c:yVal>
          <c:smooth val="1"/>
        </c:ser>
        <c:axId val="28405899"/>
        <c:axId val="55038240"/>
      </c:scatterChart>
      <c:valAx>
        <c:axId val="28405899"/>
        <c:scaling>
          <c:orientation val="minMax"/>
        </c:scaling>
        <c:axPos val="b"/>
        <c:delete val="0"/>
        <c:numFmt formatCode="General" sourceLinked="1"/>
        <c:majorTickMark val="out"/>
        <c:minorTickMark val="none"/>
        <c:tickLblPos val="nextTo"/>
        <c:crossAx val="55038240"/>
        <c:crosses val="autoZero"/>
        <c:crossBetween val="midCat"/>
        <c:dispUnits/>
      </c:valAx>
      <c:valAx>
        <c:axId val="55038240"/>
        <c:scaling>
          <c:orientation val="minMax"/>
        </c:scaling>
        <c:axPos val="l"/>
        <c:majorGridlines/>
        <c:delete val="0"/>
        <c:numFmt formatCode="General" sourceLinked="1"/>
        <c:majorTickMark val="out"/>
        <c:minorTickMark val="none"/>
        <c:tickLblPos val="nextTo"/>
        <c:crossAx val="2840589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'Chapter 28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28 '!#REF!</c:f>
              <c:strCache>
                <c:ptCount val="1"/>
                <c:pt idx="0">
                  <c:v>0</c:v>
                </c:pt>
              </c:strCache>
            </c:strRef>
          </c:xVal>
          <c:yVal>
            <c:numRef>
              <c:f>'Chapter 28 '!#REF!</c:f>
              <c:numCache>
                <c:ptCount val="1"/>
                <c:pt idx="0">
                  <c:v>0</c:v>
                </c:pt>
              </c:numCache>
            </c:numRef>
          </c:yVal>
          <c:smooth val="1"/>
        </c:ser>
        <c:axId val="1889441"/>
        <c:axId val="48147038"/>
      </c:scatterChart>
      <c:valAx>
        <c:axId val="1889441"/>
        <c:scaling>
          <c:orientation val="minMax"/>
        </c:scaling>
        <c:axPos val="b"/>
        <c:delete val="0"/>
        <c:numFmt formatCode="General" sourceLinked="1"/>
        <c:majorTickMark val="out"/>
        <c:minorTickMark val="none"/>
        <c:tickLblPos val="nextTo"/>
        <c:crossAx val="48147038"/>
        <c:crosses val="autoZero"/>
        <c:crossBetween val="midCat"/>
        <c:dispUnits/>
      </c:valAx>
      <c:valAx>
        <c:axId val="48147038"/>
        <c:scaling>
          <c:orientation val="minMax"/>
        </c:scaling>
        <c:axPos val="l"/>
        <c:majorGridlines/>
        <c:delete val="0"/>
        <c:numFmt formatCode="General" sourceLinked="1"/>
        <c:majorTickMark val="out"/>
        <c:minorTickMark val="none"/>
        <c:tickLblPos val="nextTo"/>
        <c:crossAx val="188944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'Chapter 29'!#REF!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29'!#REF!</c:f>
              <c:strCache>
                <c:ptCount val="1"/>
                <c:pt idx="0">
                  <c:v>0</c:v>
                </c:pt>
              </c:strCache>
            </c:strRef>
          </c:xVal>
          <c:yVal>
            <c:numRef>
              <c:f>'Chapter 29'!#REF!</c:f>
              <c:numCache>
                <c:ptCount val="1"/>
                <c:pt idx="0">
                  <c:v>0</c:v>
                </c:pt>
              </c:numCache>
            </c:numRef>
          </c:yVal>
          <c:smooth val="1"/>
        </c:ser>
        <c:axId val="51288167"/>
        <c:axId val="41570444"/>
      </c:scatterChart>
      <c:valAx>
        <c:axId val="51288167"/>
        <c:scaling>
          <c:orientation val="minMax"/>
        </c:scaling>
        <c:axPos val="b"/>
        <c:delete val="0"/>
        <c:numFmt formatCode="General" sourceLinked="1"/>
        <c:majorTickMark val="out"/>
        <c:minorTickMark val="none"/>
        <c:tickLblPos val="nextTo"/>
        <c:crossAx val="41570444"/>
        <c:crosses val="autoZero"/>
        <c:crossBetween val="midCat"/>
        <c:dispUnits/>
      </c:valAx>
      <c:valAx>
        <c:axId val="41570444"/>
        <c:scaling>
          <c:orientation val="minMax"/>
        </c:scaling>
        <c:axPos val="l"/>
        <c:majorGridlines/>
        <c:delete val="0"/>
        <c:numFmt formatCode="General" sourceLinked="1"/>
        <c:majorTickMark val="out"/>
        <c:minorTickMark val="none"/>
        <c:tickLblPos val="nextTo"/>
        <c:crossAx val="5128816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'Chapter 29'!#REF!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29'!#REF!</c:f>
              <c:strCache>
                <c:ptCount val="1"/>
                <c:pt idx="0">
                  <c:v>0</c:v>
                </c:pt>
              </c:strCache>
            </c:strRef>
          </c:xVal>
          <c:yVal>
            <c:numRef>
              <c:f>'Chapter 29'!#REF!</c:f>
              <c:numCache>
                <c:ptCount val="1"/>
                <c:pt idx="0">
                  <c:v>0</c:v>
                </c:pt>
              </c:numCache>
            </c:numRef>
          </c:yVal>
          <c:smooth val="1"/>
        </c:ser>
        <c:axId val="52769117"/>
        <c:axId val="64799530"/>
      </c:scatterChart>
      <c:valAx>
        <c:axId val="52769117"/>
        <c:scaling>
          <c:orientation val="minMax"/>
        </c:scaling>
        <c:axPos val="b"/>
        <c:delete val="0"/>
        <c:numFmt formatCode="General" sourceLinked="1"/>
        <c:majorTickMark val="out"/>
        <c:minorTickMark val="none"/>
        <c:tickLblPos val="nextTo"/>
        <c:crossAx val="64799530"/>
        <c:crosses val="autoZero"/>
        <c:crossBetween val="midCat"/>
        <c:dispUnits/>
      </c:valAx>
      <c:valAx>
        <c:axId val="64799530"/>
        <c:scaling>
          <c:orientation val="minMax"/>
        </c:scaling>
        <c:axPos val="l"/>
        <c:majorGridlines/>
        <c:delete val="0"/>
        <c:numFmt formatCode="General" sourceLinked="1"/>
        <c:majorTickMark val="out"/>
        <c:minorTickMark val="none"/>
        <c:tickLblPos val="nextTo"/>
        <c:crossAx val="5276911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 Chapter 31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Chapter 31 '!#REF!</c:f>
              <c:strCache>
                <c:ptCount val="1"/>
                <c:pt idx="0">
                  <c:v>1</c:v>
                </c:pt>
              </c:strCache>
            </c:strRef>
          </c:xVal>
          <c:yVal>
            <c:numRef>
              <c:f>' Chapter 31 '!#REF!</c:f>
              <c:numCache>
                <c:ptCount val="1"/>
                <c:pt idx="0">
                  <c:v>1</c:v>
                </c:pt>
              </c:numCache>
            </c:numRef>
          </c:yVal>
          <c:smooth val="1"/>
        </c:ser>
        <c:axId val="60457219"/>
        <c:axId val="64011704"/>
      </c:scatterChart>
      <c:valAx>
        <c:axId val="60457219"/>
        <c:scaling>
          <c:orientation val="minMax"/>
        </c:scaling>
        <c:axPos val="b"/>
        <c:delete val="0"/>
        <c:numFmt formatCode="General" sourceLinked="1"/>
        <c:majorTickMark val="out"/>
        <c:minorTickMark val="none"/>
        <c:tickLblPos val="nextTo"/>
        <c:crossAx val="64011704"/>
        <c:crosses val="autoZero"/>
        <c:crossBetween val="midCat"/>
        <c:dispUnits/>
      </c:valAx>
      <c:valAx>
        <c:axId val="64011704"/>
        <c:scaling>
          <c:orientation val="minMax"/>
        </c:scaling>
        <c:axPos val="l"/>
        <c:majorGridlines/>
        <c:delete val="0"/>
        <c:numFmt formatCode="General" sourceLinked="1"/>
        <c:majorTickMark val="out"/>
        <c:minorTickMark val="none"/>
        <c:tickLblPos val="nextTo"/>
        <c:crossAx val="6045721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
          <c:w val="0.71475"/>
          <c:h val="0.99275"/>
        </c:manualLayout>
      </c:layout>
      <c:barChart>
        <c:barDir val="col"/>
        <c:grouping val="stacked"/>
        <c:varyColors val="0"/>
        <c:ser>
          <c:idx val="3"/>
          <c:order val="0"/>
          <c:tx>
            <c:strRef>
              <c:f>Chapter17!$D$86</c:f>
              <c:strCache>
                <c:ptCount val="1"/>
                <c:pt idx="0">
                  <c:v>Capital depreciation</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Chapter17!$D$87:$D$90</c:f>
              <c:numCache>
                <c:ptCount val="4"/>
                <c:pt idx="0">
                  <c:v>0</c:v>
                </c:pt>
                <c:pt idx="1">
                  <c:v>0</c:v>
                </c:pt>
                <c:pt idx="2">
                  <c:v>0</c:v>
                </c:pt>
                <c:pt idx="3">
                  <c:v>0</c:v>
                </c:pt>
              </c:numCache>
            </c:numRef>
          </c:val>
        </c:ser>
        <c:ser>
          <c:idx val="4"/>
          <c:order val="1"/>
          <c:tx>
            <c:strRef>
              <c:f>Chapter17!$E$86</c:f>
              <c:strCache>
                <c:ptCount val="1"/>
                <c:pt idx="0">
                  <c:v>Interests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Chapter17!$E$87:$E$90</c:f>
              <c:numCache>
                <c:ptCount val="4"/>
                <c:pt idx="0">
                  <c:v>0</c:v>
                </c:pt>
                <c:pt idx="1">
                  <c:v>0</c:v>
                </c:pt>
                <c:pt idx="2">
                  <c:v>0</c:v>
                </c:pt>
                <c:pt idx="3">
                  <c:v>0</c:v>
                </c:pt>
              </c:numCache>
            </c:numRef>
          </c:val>
        </c:ser>
        <c:overlap val="100"/>
        <c:axId val="30909335"/>
        <c:axId val="6421244"/>
      </c:barChart>
      <c:catAx>
        <c:axId val="30909335"/>
        <c:scaling>
          <c:orientation val="minMax"/>
        </c:scaling>
        <c:axPos val="b"/>
        <c:title>
          <c:tx>
            <c:rich>
              <a:bodyPr vert="horz" rot="0" anchor="ctr"/>
              <a:lstStyle/>
              <a:p>
                <a:pPr algn="ctr">
                  <a:defRPr/>
                </a:pPr>
                <a:r>
                  <a:rPr lang="en-US" cap="none" sz="825" b="1" i="0" u="none" baseline="0"/>
                  <a:t>Period</a:t>
                </a:r>
              </a:p>
            </c:rich>
          </c:tx>
          <c:layout/>
          <c:overlay val="0"/>
          <c:spPr>
            <a:noFill/>
            <a:ln>
              <a:noFill/>
            </a:ln>
          </c:spPr>
        </c:title>
        <c:delete val="0"/>
        <c:numFmt formatCode="General" sourceLinked="1"/>
        <c:majorTickMark val="out"/>
        <c:minorTickMark val="none"/>
        <c:tickLblPos val="nextTo"/>
        <c:crossAx val="6421244"/>
        <c:crosses val="autoZero"/>
        <c:auto val="1"/>
        <c:lblOffset val="100"/>
        <c:noMultiLvlLbl val="0"/>
      </c:catAx>
      <c:valAx>
        <c:axId val="6421244"/>
        <c:scaling>
          <c:orientation val="minMax"/>
        </c:scaling>
        <c:axPos val="l"/>
        <c:title>
          <c:tx>
            <c:rich>
              <a:bodyPr vert="horz" rot="-5400000" anchor="ctr"/>
              <a:lstStyle/>
              <a:p>
                <a:pPr algn="ctr">
                  <a:defRPr/>
                </a:pPr>
                <a:r>
                  <a:rPr lang="en-US" cap="none" sz="825" b="1" i="0" u="none" baseline="0"/>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600" b="0" i="0" u="none" baseline="0"/>
            </a:pPr>
          </a:p>
        </c:txPr>
        <c:crossAx val="30909335"/>
        <c:crossesAt val="1"/>
        <c:crossBetween val="between"/>
        <c:dispUnits/>
      </c:valAx>
      <c:spPr>
        <a:solidFill>
          <a:srgbClr val="C0C0C0"/>
        </a:solidFill>
        <a:ln w="12700">
          <a:solidFill>
            <a:srgbClr val="808080"/>
          </a:solidFill>
        </a:ln>
      </c:spPr>
    </c:plotArea>
    <c:legend>
      <c:legendPos val="r"/>
      <c:layout>
        <c:manualLayout>
          <c:xMode val="edge"/>
          <c:yMode val="edge"/>
          <c:x val="0.75425"/>
          <c:y val="0.347"/>
        </c:manualLayout>
      </c:layout>
      <c:overlay val="0"/>
    </c:legend>
    <c:plotVisOnly val="1"/>
    <c:dispBlanksAs val="gap"/>
    <c:showDLblsOverMax val="0"/>
  </c:chart>
  <c:txPr>
    <a:bodyPr vert="horz" rot="0"/>
    <a:lstStyle/>
    <a:p>
      <a:pPr>
        <a:defRPr lang="en-US" cap="none" sz="8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 Chapter 31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Chapter 31 '!#REF!</c:f>
              <c:strCache>
                <c:ptCount val="1"/>
                <c:pt idx="0">
                  <c:v>1</c:v>
                </c:pt>
              </c:strCache>
            </c:strRef>
          </c:xVal>
          <c:yVal>
            <c:numRef>
              <c:f>' Chapter 31 '!#REF!</c:f>
              <c:numCache>
                <c:ptCount val="1"/>
                <c:pt idx="0">
                  <c:v>1</c:v>
                </c:pt>
              </c:numCache>
            </c:numRef>
          </c:yVal>
          <c:smooth val="1"/>
        </c:ser>
        <c:axId val="12399833"/>
        <c:axId val="18192310"/>
      </c:scatterChart>
      <c:valAx>
        <c:axId val="12399833"/>
        <c:scaling>
          <c:orientation val="minMax"/>
        </c:scaling>
        <c:axPos val="b"/>
        <c:delete val="0"/>
        <c:numFmt formatCode="General" sourceLinked="1"/>
        <c:majorTickMark val="out"/>
        <c:minorTickMark val="none"/>
        <c:tickLblPos val="nextTo"/>
        <c:crossAx val="18192310"/>
        <c:crosses val="autoZero"/>
        <c:crossBetween val="midCat"/>
        <c:dispUnits/>
      </c:valAx>
      <c:valAx>
        <c:axId val="18192310"/>
        <c:scaling>
          <c:orientation val="minMax"/>
        </c:scaling>
        <c:axPos val="l"/>
        <c:majorGridlines/>
        <c:delete val="0"/>
        <c:numFmt formatCode="General" sourceLinked="1"/>
        <c:majorTickMark val="out"/>
        <c:minorTickMark val="none"/>
        <c:tickLblPos val="nextTo"/>
        <c:crossAx val="1239983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 Chapter 32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Chapter 32 '!#REF!</c:f>
              <c:strCache>
                <c:ptCount val="1"/>
                <c:pt idx="0">
                  <c:v>1</c:v>
                </c:pt>
              </c:strCache>
            </c:strRef>
          </c:xVal>
          <c:yVal>
            <c:numRef>
              <c:f>' Chapter 32 '!#REF!</c:f>
              <c:numCache>
                <c:ptCount val="1"/>
                <c:pt idx="0">
                  <c:v>1</c:v>
                </c:pt>
              </c:numCache>
            </c:numRef>
          </c:yVal>
          <c:smooth val="1"/>
        </c:ser>
        <c:axId val="35989087"/>
        <c:axId val="47850660"/>
      </c:scatterChart>
      <c:valAx>
        <c:axId val="35989087"/>
        <c:scaling>
          <c:orientation val="minMax"/>
        </c:scaling>
        <c:axPos val="b"/>
        <c:delete val="0"/>
        <c:numFmt formatCode="General" sourceLinked="1"/>
        <c:majorTickMark val="out"/>
        <c:minorTickMark val="none"/>
        <c:tickLblPos val="nextTo"/>
        <c:crossAx val="47850660"/>
        <c:crosses val="autoZero"/>
        <c:crossBetween val="midCat"/>
        <c:dispUnits/>
      </c:valAx>
      <c:valAx>
        <c:axId val="47850660"/>
        <c:scaling>
          <c:orientation val="minMax"/>
        </c:scaling>
        <c:axPos val="l"/>
        <c:majorGridlines/>
        <c:delete val="0"/>
        <c:numFmt formatCode="General" sourceLinked="1"/>
        <c:majorTickMark val="out"/>
        <c:minorTickMark val="none"/>
        <c:tickLblPos val="nextTo"/>
        <c:crossAx val="3598908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 Chapter 32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Chapter 32 '!#REF!</c:f>
              <c:strCache>
                <c:ptCount val="1"/>
                <c:pt idx="0">
                  <c:v>1</c:v>
                </c:pt>
              </c:strCache>
            </c:strRef>
          </c:xVal>
          <c:yVal>
            <c:numRef>
              <c:f>' Chapter 32 '!#REF!</c:f>
              <c:numCache>
                <c:ptCount val="1"/>
                <c:pt idx="0">
                  <c:v>1</c:v>
                </c:pt>
              </c:numCache>
            </c:numRef>
          </c:yVal>
          <c:smooth val="1"/>
        </c:ser>
        <c:axId val="33209109"/>
        <c:axId val="12489730"/>
      </c:scatterChart>
      <c:valAx>
        <c:axId val="33209109"/>
        <c:scaling>
          <c:orientation val="minMax"/>
        </c:scaling>
        <c:axPos val="b"/>
        <c:delete val="0"/>
        <c:numFmt formatCode="General" sourceLinked="1"/>
        <c:majorTickMark val="out"/>
        <c:minorTickMark val="none"/>
        <c:tickLblPos val="nextTo"/>
        <c:crossAx val="12489730"/>
        <c:crosses val="autoZero"/>
        <c:crossBetween val="midCat"/>
        <c:dispUnits/>
      </c:valAx>
      <c:valAx>
        <c:axId val="12489730"/>
        <c:scaling>
          <c:orientation val="minMax"/>
        </c:scaling>
        <c:axPos val="l"/>
        <c:majorGridlines/>
        <c:delete val="0"/>
        <c:numFmt formatCode="General" sourceLinked="1"/>
        <c:majorTickMark val="out"/>
        <c:minorTickMark val="none"/>
        <c:tickLblPos val="nextTo"/>
        <c:crossAx val="3320910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'Chapter 33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33 '!#REF!</c:f>
              <c:strCache>
                <c:ptCount val="1"/>
                <c:pt idx="0">
                  <c:v>0</c:v>
                </c:pt>
              </c:strCache>
            </c:strRef>
          </c:xVal>
          <c:yVal>
            <c:numRef>
              <c:f>'Chapter 33 '!#REF!</c:f>
              <c:numCache>
                <c:ptCount val="1"/>
                <c:pt idx="0">
                  <c:v>0</c:v>
                </c:pt>
              </c:numCache>
            </c:numRef>
          </c:yVal>
          <c:smooth val="1"/>
        </c:ser>
        <c:axId val="23676027"/>
        <c:axId val="34951504"/>
      </c:scatterChart>
      <c:valAx>
        <c:axId val="23676027"/>
        <c:scaling>
          <c:orientation val="minMax"/>
        </c:scaling>
        <c:axPos val="b"/>
        <c:delete val="0"/>
        <c:numFmt formatCode="General" sourceLinked="1"/>
        <c:majorTickMark val="out"/>
        <c:minorTickMark val="none"/>
        <c:tickLblPos val="nextTo"/>
        <c:crossAx val="34951504"/>
        <c:crosses val="autoZero"/>
        <c:crossBetween val="midCat"/>
        <c:dispUnits/>
      </c:valAx>
      <c:valAx>
        <c:axId val="34951504"/>
        <c:scaling>
          <c:orientation val="minMax"/>
        </c:scaling>
        <c:axPos val="l"/>
        <c:majorGridlines/>
        <c:delete val="0"/>
        <c:numFmt formatCode="General" sourceLinked="1"/>
        <c:majorTickMark val="out"/>
        <c:minorTickMark val="none"/>
        <c:tickLblPos val="nextTo"/>
        <c:crossAx val="2367602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'Chapter 33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33 '!#REF!</c:f>
              <c:strCache>
                <c:ptCount val="1"/>
                <c:pt idx="0">
                  <c:v>0</c:v>
                </c:pt>
              </c:strCache>
            </c:strRef>
          </c:xVal>
          <c:yVal>
            <c:numRef>
              <c:f>'Chapter 33 '!#REF!</c:f>
              <c:numCache>
                <c:ptCount val="1"/>
                <c:pt idx="0">
                  <c:v>0</c:v>
                </c:pt>
              </c:numCache>
            </c:numRef>
          </c:yVal>
          <c:smooth val="1"/>
        </c:ser>
        <c:axId val="51666961"/>
        <c:axId val="64676878"/>
      </c:scatterChart>
      <c:valAx>
        <c:axId val="51666961"/>
        <c:scaling>
          <c:orientation val="minMax"/>
        </c:scaling>
        <c:axPos val="b"/>
        <c:delete val="0"/>
        <c:numFmt formatCode="General" sourceLinked="1"/>
        <c:majorTickMark val="out"/>
        <c:minorTickMark val="none"/>
        <c:tickLblPos val="nextTo"/>
        <c:crossAx val="64676878"/>
        <c:crosses val="autoZero"/>
        <c:crossBetween val="midCat"/>
        <c:dispUnits/>
      </c:valAx>
      <c:valAx>
        <c:axId val="64676878"/>
        <c:scaling>
          <c:orientation val="minMax"/>
        </c:scaling>
        <c:axPos val="l"/>
        <c:majorGridlines/>
        <c:delete val="0"/>
        <c:numFmt formatCode="General" sourceLinked="1"/>
        <c:majorTickMark val="out"/>
        <c:minorTickMark val="none"/>
        <c:tickLblPos val="nextTo"/>
        <c:crossAx val="5166696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 Chapter 34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Chapter 34 '!#REF!</c:f>
              <c:strCache>
                <c:ptCount val="1"/>
                <c:pt idx="0">
                  <c:v>0</c:v>
                </c:pt>
              </c:strCache>
            </c:strRef>
          </c:xVal>
          <c:yVal>
            <c:numRef>
              <c:f>' Chapter 34 '!#REF!</c:f>
              <c:numCache>
                <c:ptCount val="1"/>
                <c:pt idx="0">
                  <c:v>0</c:v>
                </c:pt>
              </c:numCache>
            </c:numRef>
          </c:yVal>
          <c:smooth val="1"/>
        </c:ser>
        <c:axId val="52975447"/>
        <c:axId val="10276796"/>
      </c:scatterChart>
      <c:valAx>
        <c:axId val="52975447"/>
        <c:scaling>
          <c:orientation val="minMax"/>
        </c:scaling>
        <c:axPos val="b"/>
        <c:delete val="0"/>
        <c:numFmt formatCode="General" sourceLinked="1"/>
        <c:majorTickMark val="out"/>
        <c:minorTickMark val="none"/>
        <c:tickLblPos val="nextTo"/>
        <c:crossAx val="10276796"/>
        <c:crosses val="autoZero"/>
        <c:crossBetween val="midCat"/>
        <c:dispUnits/>
      </c:valAx>
      <c:valAx>
        <c:axId val="10276796"/>
        <c:scaling>
          <c:orientation val="minMax"/>
        </c:scaling>
        <c:axPos val="l"/>
        <c:majorGridlines/>
        <c:delete val="0"/>
        <c:numFmt formatCode="General" sourceLinked="1"/>
        <c:majorTickMark val="out"/>
        <c:minorTickMark val="none"/>
        <c:tickLblPos val="nextTo"/>
        <c:crossAx val="5297544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 Chapter 34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Chapter 34 '!#REF!</c:f>
              <c:strCache>
                <c:ptCount val="1"/>
                <c:pt idx="0">
                  <c:v>0</c:v>
                </c:pt>
              </c:strCache>
            </c:strRef>
          </c:xVal>
          <c:yVal>
            <c:numRef>
              <c:f>' Chapter 34 '!#REF!</c:f>
              <c:numCache>
                <c:ptCount val="1"/>
                <c:pt idx="0">
                  <c:v>0</c:v>
                </c:pt>
              </c:numCache>
            </c:numRef>
          </c:yVal>
          <c:smooth val="1"/>
        </c:ser>
        <c:axId val="22904781"/>
        <c:axId val="55014362"/>
      </c:scatterChart>
      <c:valAx>
        <c:axId val="22904781"/>
        <c:scaling>
          <c:orientation val="minMax"/>
        </c:scaling>
        <c:axPos val="b"/>
        <c:delete val="0"/>
        <c:numFmt formatCode="General" sourceLinked="1"/>
        <c:majorTickMark val="out"/>
        <c:minorTickMark val="none"/>
        <c:tickLblPos val="nextTo"/>
        <c:crossAx val="55014362"/>
        <c:crosses val="autoZero"/>
        <c:crossBetween val="midCat"/>
        <c:dispUnits/>
      </c:valAx>
      <c:valAx>
        <c:axId val="55014362"/>
        <c:scaling>
          <c:orientation val="minMax"/>
        </c:scaling>
        <c:axPos val="l"/>
        <c:majorGridlines/>
        <c:delete val="0"/>
        <c:numFmt formatCode="General" sourceLinked="1"/>
        <c:majorTickMark val="out"/>
        <c:minorTickMark val="none"/>
        <c:tickLblPos val="nextTo"/>
        <c:crossAx val="2290478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8"/>
          <c:order val="0"/>
          <c:tx>
            <c:strRef>
              <c:f>' Chapter 34 '!#REF!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FF0000"/>
                </a:solidFill>
              </a:ln>
            </c:spPr>
          </c:marker>
          <c:cat>
            <c:strRef>
              <c:f>' Chapter 34 '!#REF!</c:f>
              <c:strCache>
                <c:ptCount val="1"/>
                <c:pt idx="0">
                  <c:v>1</c:v>
                </c:pt>
              </c:strCache>
            </c:strRef>
          </c:cat>
          <c:val>
            <c:numRef>
              <c:f>' Chapter 34 '!#REF!</c:f>
              <c:numCache>
                <c:ptCount val="1"/>
                <c:pt idx="0">
                  <c:v>1</c:v>
                </c:pt>
              </c:numCache>
            </c:numRef>
          </c:val>
          <c:smooth val="0"/>
        </c:ser>
        <c:ser>
          <c:idx val="1"/>
          <c:order val="1"/>
          <c:tx>
            <c:strRef>
              <c:f>' Chapter 34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 Chapter 34 '!#REF!</c:f>
              <c:strCache>
                <c:ptCount val="1"/>
                <c:pt idx="0">
                  <c:v>1</c:v>
                </c:pt>
              </c:strCache>
            </c:strRef>
          </c:cat>
          <c:val>
            <c:numRef>
              <c:f>' Chapter 34 '!#REF!</c:f>
              <c:numCache>
                <c:ptCount val="1"/>
                <c:pt idx="0">
                  <c:v>1</c:v>
                </c:pt>
              </c:numCache>
            </c:numRef>
          </c:val>
          <c:smooth val="0"/>
        </c:ser>
        <c:marker val="1"/>
        <c:axId val="432883"/>
        <c:axId val="26405864"/>
      </c:lineChart>
      <c:catAx>
        <c:axId val="432883"/>
        <c:scaling>
          <c:orientation val="minMax"/>
        </c:scaling>
        <c:axPos val="b"/>
        <c:title>
          <c:tx>
            <c:rich>
              <a:bodyPr vert="horz" rot="0" anchor="ctr"/>
              <a:lstStyle/>
              <a:p>
                <a:pPr algn="ctr">
                  <a:defRPr/>
                </a:pPr>
                <a:r>
                  <a:rPr lang="en-US" cap="none" sz="250" b="1" i="0" u="none" baseline="0"/>
                  <a:t>Endettement</a:t>
                </a:r>
              </a:p>
            </c:rich>
          </c:tx>
          <c:layout/>
          <c:overlay val="0"/>
          <c:spPr>
            <a:noFill/>
            <a:ln>
              <a:noFill/>
            </a:ln>
          </c:spPr>
        </c:title>
        <c:minorGridlines/>
        <c:delete val="0"/>
        <c:numFmt formatCode="General" sourceLinked="1"/>
        <c:majorTickMark val="out"/>
        <c:minorTickMark val="none"/>
        <c:tickLblPos val="nextTo"/>
        <c:crossAx val="26405864"/>
        <c:crosses val="autoZero"/>
        <c:auto val="1"/>
        <c:lblOffset val="100"/>
        <c:noMultiLvlLbl val="0"/>
      </c:catAx>
      <c:valAx>
        <c:axId val="26405864"/>
        <c:scaling>
          <c:orientation val="minMax"/>
        </c:scaling>
        <c:axPos val="l"/>
        <c:title>
          <c:tx>
            <c:rich>
              <a:bodyPr vert="horz" rot="-5400000" anchor="ctr"/>
              <a:lstStyle/>
              <a:p>
                <a:pPr algn="ctr">
                  <a:defRPr/>
                </a:pPr>
                <a:r>
                  <a:rPr lang="en-US" cap="none" sz="250" b="1" i="0" u="none" baseline="0"/>
                  <a:t>Revenu net pour l'investisseur</a:t>
                </a:r>
              </a:p>
            </c:rich>
          </c:tx>
          <c:layout/>
          <c:overlay val="0"/>
          <c:spPr>
            <a:noFill/>
            <a:ln>
              <a:noFill/>
            </a:ln>
          </c:spPr>
        </c:title>
        <c:majorGridlines/>
        <c:delete val="0"/>
        <c:numFmt formatCode="General" sourceLinked="1"/>
        <c:majorTickMark val="out"/>
        <c:minorTickMark val="none"/>
        <c:tickLblPos val="nextTo"/>
        <c:crossAx val="432883"/>
        <c:crossesAt val="1"/>
        <c:crossBetween val="between"/>
        <c:dispUnits/>
      </c:valAx>
      <c:spPr>
        <a:solidFill>
          <a:srgbClr val="CCCC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'Chapter 35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35 '!#REF!</c:f>
              <c:strCache>
                <c:ptCount val="1"/>
                <c:pt idx="0">
                  <c:v>0</c:v>
                </c:pt>
              </c:strCache>
            </c:strRef>
          </c:xVal>
          <c:yVal>
            <c:numRef>
              <c:f>'Chapter 35 '!#REF!</c:f>
              <c:numCache>
                <c:ptCount val="1"/>
                <c:pt idx="0">
                  <c:v>0</c:v>
                </c:pt>
              </c:numCache>
            </c:numRef>
          </c:yVal>
          <c:smooth val="1"/>
        </c:ser>
        <c:axId val="144969"/>
        <c:axId val="8843110"/>
      </c:scatterChart>
      <c:valAx>
        <c:axId val="144969"/>
        <c:scaling>
          <c:orientation val="minMax"/>
        </c:scaling>
        <c:axPos val="b"/>
        <c:delete val="0"/>
        <c:numFmt formatCode="General" sourceLinked="1"/>
        <c:majorTickMark val="out"/>
        <c:minorTickMark val="none"/>
        <c:tickLblPos val="nextTo"/>
        <c:crossAx val="8843110"/>
        <c:crosses val="autoZero"/>
        <c:crossBetween val="midCat"/>
        <c:dispUnits/>
      </c:valAx>
      <c:valAx>
        <c:axId val="8843110"/>
        <c:scaling>
          <c:orientation val="minMax"/>
        </c:scaling>
        <c:axPos val="l"/>
        <c:majorGridlines/>
        <c:delete val="0"/>
        <c:numFmt formatCode="General" sourceLinked="1"/>
        <c:majorTickMark val="out"/>
        <c:minorTickMark val="none"/>
        <c:tickLblPos val="nextTo"/>
        <c:crossAx val="14496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'Chapter 35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35 '!#REF!</c:f>
              <c:strCache>
                <c:ptCount val="1"/>
                <c:pt idx="0">
                  <c:v>0</c:v>
                </c:pt>
              </c:strCache>
            </c:strRef>
          </c:xVal>
          <c:yVal>
            <c:numRef>
              <c:f>'Chapter 35 '!#REF!</c:f>
              <c:numCache>
                <c:ptCount val="1"/>
                <c:pt idx="0">
                  <c:v>0</c:v>
                </c:pt>
              </c:numCache>
            </c:numRef>
          </c:yVal>
          <c:smooth val="1"/>
        </c:ser>
        <c:axId val="2558799"/>
        <c:axId val="21869012"/>
      </c:scatterChart>
      <c:valAx>
        <c:axId val="2558799"/>
        <c:scaling>
          <c:orientation val="minMax"/>
        </c:scaling>
        <c:axPos val="b"/>
        <c:delete val="0"/>
        <c:numFmt formatCode="General" sourceLinked="1"/>
        <c:majorTickMark val="out"/>
        <c:minorTickMark val="none"/>
        <c:tickLblPos val="nextTo"/>
        <c:crossAx val="21869012"/>
        <c:crosses val="autoZero"/>
        <c:crossBetween val="midCat"/>
        <c:dispUnits/>
      </c:valAx>
      <c:valAx>
        <c:axId val="21869012"/>
        <c:scaling>
          <c:orientation val="minMax"/>
        </c:scaling>
        <c:axPos val="l"/>
        <c:majorGridlines/>
        <c:delete val="0"/>
        <c:numFmt formatCode="General" sourceLinked="1"/>
        <c:majorTickMark val="out"/>
        <c:minorTickMark val="none"/>
        <c:tickLblPos val="nextTo"/>
        <c:crossAx val="255879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
          <c:w val="0.71625"/>
          <c:h val="0.994"/>
        </c:manualLayout>
      </c:layout>
      <c:barChart>
        <c:barDir val="col"/>
        <c:grouping val="stacked"/>
        <c:varyColors val="0"/>
        <c:ser>
          <c:idx val="3"/>
          <c:order val="0"/>
          <c:tx>
            <c:strRef>
              <c:f>Chapter17!$D$95</c:f>
              <c:strCache>
                <c:ptCount val="1"/>
                <c:pt idx="0">
                  <c:v>Capital depreciation</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Chapter17!$D$96:$D$99</c:f>
              <c:numCache>
                <c:ptCount val="4"/>
                <c:pt idx="0">
                  <c:v>0</c:v>
                </c:pt>
                <c:pt idx="1">
                  <c:v>0</c:v>
                </c:pt>
                <c:pt idx="2">
                  <c:v>0</c:v>
                </c:pt>
                <c:pt idx="3">
                  <c:v>0</c:v>
                </c:pt>
              </c:numCache>
            </c:numRef>
          </c:val>
        </c:ser>
        <c:ser>
          <c:idx val="4"/>
          <c:order val="1"/>
          <c:tx>
            <c:strRef>
              <c:f>Chapter17!$E$95</c:f>
              <c:strCache>
                <c:ptCount val="1"/>
                <c:pt idx="0">
                  <c:v>Interests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Chapter17!$E$96:$E$99</c:f>
              <c:numCache>
                <c:ptCount val="4"/>
                <c:pt idx="0">
                  <c:v>0</c:v>
                </c:pt>
                <c:pt idx="1">
                  <c:v>0</c:v>
                </c:pt>
                <c:pt idx="2">
                  <c:v>0</c:v>
                </c:pt>
                <c:pt idx="3">
                  <c:v>0</c:v>
                </c:pt>
              </c:numCache>
            </c:numRef>
          </c:val>
        </c:ser>
        <c:overlap val="100"/>
        <c:axId val="56151565"/>
        <c:axId val="2693402"/>
      </c:barChart>
      <c:catAx>
        <c:axId val="56151565"/>
        <c:scaling>
          <c:orientation val="minMax"/>
        </c:scaling>
        <c:axPos val="b"/>
        <c:title>
          <c:tx>
            <c:rich>
              <a:bodyPr vert="horz" rot="0" anchor="ctr"/>
              <a:lstStyle/>
              <a:p>
                <a:pPr algn="ctr">
                  <a:defRPr/>
                </a:pPr>
                <a:r>
                  <a:rPr lang="en-US" cap="none" sz="800" b="1" i="0" u="none" baseline="0"/>
                  <a:t>Period</a:t>
                </a:r>
              </a:p>
            </c:rich>
          </c:tx>
          <c:layout/>
          <c:overlay val="0"/>
          <c:spPr>
            <a:noFill/>
            <a:ln>
              <a:noFill/>
            </a:ln>
          </c:spPr>
        </c:title>
        <c:delete val="0"/>
        <c:numFmt formatCode="General" sourceLinked="1"/>
        <c:majorTickMark val="out"/>
        <c:minorTickMark val="none"/>
        <c:tickLblPos val="nextTo"/>
        <c:crossAx val="2693402"/>
        <c:crosses val="autoZero"/>
        <c:auto val="1"/>
        <c:lblOffset val="100"/>
        <c:noMultiLvlLbl val="0"/>
      </c:catAx>
      <c:valAx>
        <c:axId val="2693402"/>
        <c:scaling>
          <c:orientation val="minMax"/>
        </c:scaling>
        <c:axPos val="l"/>
        <c:title>
          <c:tx>
            <c:rich>
              <a:bodyPr vert="horz" rot="-5400000" anchor="ctr"/>
              <a:lstStyle/>
              <a:p>
                <a:pPr algn="ctr">
                  <a:defRPr/>
                </a:pPr>
                <a:r>
                  <a:rPr lang="en-US" cap="none" sz="800" b="1" i="0" u="none" baseline="0"/>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450" b="0" i="0" u="none" baseline="0"/>
            </a:pPr>
          </a:p>
        </c:txPr>
        <c:crossAx val="56151565"/>
        <c:crossesAt val="1"/>
        <c:crossBetween val="between"/>
        <c:dispUnits/>
      </c:valAx>
      <c:spPr>
        <a:solidFill>
          <a:srgbClr val="C0C0C0"/>
        </a:solidFill>
        <a:ln w="12700">
          <a:solidFill>
            <a:srgbClr val="808080"/>
          </a:solidFill>
        </a:ln>
      </c:spPr>
    </c:plotArea>
    <c:legend>
      <c:legendPos val="r"/>
      <c:layout>
        <c:manualLayout>
          <c:xMode val="edge"/>
          <c:yMode val="edge"/>
          <c:x val="0.755"/>
          <c:y val="0.3525"/>
        </c:manualLayout>
      </c:layout>
      <c:overlay val="0"/>
    </c:legend>
    <c:plotVisOnly val="1"/>
    <c:dispBlanksAs val="gap"/>
    <c:showDLblsOverMax val="0"/>
  </c:chart>
  <c:txPr>
    <a:bodyPr vert="horz" rot="0"/>
    <a:lstStyle/>
    <a:p>
      <a:pPr>
        <a:defRPr lang="en-US" cap="none" sz="800"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'Chapter 36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36 '!#REF!</c:f>
              <c:strCache>
                <c:ptCount val="1"/>
                <c:pt idx="0">
                  <c:v>0</c:v>
                </c:pt>
              </c:strCache>
            </c:strRef>
          </c:xVal>
          <c:yVal>
            <c:numRef>
              <c:f>'Chapter 36 '!#REF!</c:f>
              <c:numCache>
                <c:ptCount val="1"/>
                <c:pt idx="0">
                  <c:v>0</c:v>
                </c:pt>
              </c:numCache>
            </c:numRef>
          </c:yVal>
          <c:smooth val="1"/>
        </c:ser>
        <c:axId val="58941317"/>
        <c:axId val="38650546"/>
      </c:scatterChart>
      <c:valAx>
        <c:axId val="58941317"/>
        <c:scaling>
          <c:orientation val="minMax"/>
        </c:scaling>
        <c:axPos val="b"/>
        <c:delete val="0"/>
        <c:numFmt formatCode="General" sourceLinked="1"/>
        <c:majorTickMark val="out"/>
        <c:minorTickMark val="none"/>
        <c:tickLblPos val="nextTo"/>
        <c:crossAx val="38650546"/>
        <c:crosses val="autoZero"/>
        <c:crossBetween val="midCat"/>
        <c:dispUnits/>
      </c:valAx>
      <c:valAx>
        <c:axId val="38650546"/>
        <c:scaling>
          <c:orientation val="minMax"/>
        </c:scaling>
        <c:axPos val="l"/>
        <c:majorGridlines/>
        <c:delete val="0"/>
        <c:numFmt formatCode="General" sourceLinked="1"/>
        <c:majorTickMark val="out"/>
        <c:minorTickMark val="none"/>
        <c:tickLblPos val="nextTo"/>
        <c:crossAx val="5894131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'Chapter 36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36 '!#REF!</c:f>
              <c:strCache>
                <c:ptCount val="1"/>
                <c:pt idx="0">
                  <c:v>0</c:v>
                </c:pt>
              </c:strCache>
            </c:strRef>
          </c:xVal>
          <c:yVal>
            <c:numRef>
              <c:f>'Chapter 36 '!#REF!</c:f>
              <c:numCache>
                <c:ptCount val="1"/>
                <c:pt idx="0">
                  <c:v>0</c:v>
                </c:pt>
              </c:numCache>
            </c:numRef>
          </c:yVal>
          <c:smooth val="1"/>
        </c:ser>
        <c:axId val="8873067"/>
        <c:axId val="4386176"/>
      </c:scatterChart>
      <c:valAx>
        <c:axId val="8873067"/>
        <c:scaling>
          <c:orientation val="minMax"/>
        </c:scaling>
        <c:axPos val="b"/>
        <c:delete val="0"/>
        <c:numFmt formatCode="General" sourceLinked="1"/>
        <c:majorTickMark val="out"/>
        <c:minorTickMark val="none"/>
        <c:tickLblPos val="nextTo"/>
        <c:crossAx val="4386176"/>
        <c:crosses val="autoZero"/>
        <c:crossBetween val="midCat"/>
        <c:dispUnits/>
      </c:valAx>
      <c:valAx>
        <c:axId val="4386176"/>
        <c:scaling>
          <c:orientation val="minMax"/>
        </c:scaling>
        <c:axPos val="l"/>
        <c:majorGridlines/>
        <c:delete val="0"/>
        <c:numFmt formatCode="General" sourceLinked="1"/>
        <c:majorTickMark val="out"/>
        <c:minorTickMark val="none"/>
        <c:tickLblPos val="nextTo"/>
        <c:crossAx val="887306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'Chapter 37'!#REF!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37'!#REF!</c:f>
              <c:strCache>
                <c:ptCount val="1"/>
                <c:pt idx="0">
                  <c:v>0</c:v>
                </c:pt>
              </c:strCache>
            </c:strRef>
          </c:xVal>
          <c:yVal>
            <c:numRef>
              <c:f>'Chapter 37'!#REF!</c:f>
              <c:numCache>
                <c:ptCount val="1"/>
                <c:pt idx="0">
                  <c:v>0</c:v>
                </c:pt>
              </c:numCache>
            </c:numRef>
          </c:yVal>
          <c:smooth val="1"/>
        </c:ser>
        <c:axId val="66230145"/>
        <c:axId val="13507006"/>
      </c:scatterChart>
      <c:valAx>
        <c:axId val="66230145"/>
        <c:scaling>
          <c:orientation val="minMax"/>
        </c:scaling>
        <c:axPos val="b"/>
        <c:delete val="0"/>
        <c:numFmt formatCode="General" sourceLinked="1"/>
        <c:majorTickMark val="out"/>
        <c:minorTickMark val="none"/>
        <c:tickLblPos val="nextTo"/>
        <c:crossAx val="13507006"/>
        <c:crosses val="autoZero"/>
        <c:crossBetween val="midCat"/>
        <c:dispUnits/>
      </c:valAx>
      <c:valAx>
        <c:axId val="13507006"/>
        <c:scaling>
          <c:orientation val="minMax"/>
        </c:scaling>
        <c:axPos val="l"/>
        <c:majorGridlines/>
        <c:delete val="0"/>
        <c:numFmt formatCode="General" sourceLinked="1"/>
        <c:majorTickMark val="out"/>
        <c:minorTickMark val="none"/>
        <c:tickLblPos val="nextTo"/>
        <c:crossAx val="6623014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'Chapter 37'!#REF!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37'!#REF!</c:f>
              <c:strCache>
                <c:ptCount val="1"/>
                <c:pt idx="0">
                  <c:v>0</c:v>
                </c:pt>
              </c:strCache>
            </c:strRef>
          </c:xVal>
          <c:yVal>
            <c:numRef>
              <c:f>'Chapter 37'!#REF!</c:f>
              <c:numCache>
                <c:ptCount val="1"/>
                <c:pt idx="0">
                  <c:v>0</c:v>
                </c:pt>
              </c:numCache>
            </c:numRef>
          </c:yVal>
          <c:smooth val="1"/>
        </c:ser>
        <c:axId val="18620999"/>
        <c:axId val="62139116"/>
      </c:scatterChart>
      <c:valAx>
        <c:axId val="18620999"/>
        <c:scaling>
          <c:orientation val="minMax"/>
        </c:scaling>
        <c:axPos val="b"/>
        <c:delete val="0"/>
        <c:numFmt formatCode="General" sourceLinked="1"/>
        <c:majorTickMark val="out"/>
        <c:minorTickMark val="none"/>
        <c:tickLblPos val="nextTo"/>
        <c:crossAx val="62139116"/>
        <c:crosses val="autoZero"/>
        <c:crossBetween val="midCat"/>
        <c:dispUnits/>
      </c:valAx>
      <c:valAx>
        <c:axId val="62139116"/>
        <c:scaling>
          <c:orientation val="minMax"/>
        </c:scaling>
        <c:axPos val="l"/>
        <c:majorGridlines/>
        <c:delete val="0"/>
        <c:numFmt formatCode="General" sourceLinked="1"/>
        <c:majorTickMark val="out"/>
        <c:minorTickMark val="none"/>
        <c:tickLblPos val="nextTo"/>
        <c:crossAx val="1862099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'Chapter 38'!#REF!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38'!#REF!</c:f>
              <c:strCache>
                <c:ptCount val="1"/>
                <c:pt idx="0">
                  <c:v>0</c:v>
                </c:pt>
              </c:strCache>
            </c:strRef>
          </c:xVal>
          <c:yVal>
            <c:numRef>
              <c:f>'Chapter 38'!#REF!</c:f>
              <c:numCache>
                <c:ptCount val="1"/>
                <c:pt idx="0">
                  <c:v>0</c:v>
                </c:pt>
              </c:numCache>
            </c:numRef>
          </c:yVal>
          <c:smooth val="1"/>
        </c:ser>
        <c:axId val="32389693"/>
        <c:axId val="29614218"/>
      </c:scatterChart>
      <c:valAx>
        <c:axId val="32389693"/>
        <c:scaling>
          <c:orientation val="minMax"/>
        </c:scaling>
        <c:axPos val="b"/>
        <c:delete val="0"/>
        <c:numFmt formatCode="General" sourceLinked="1"/>
        <c:majorTickMark val="out"/>
        <c:minorTickMark val="none"/>
        <c:tickLblPos val="nextTo"/>
        <c:crossAx val="29614218"/>
        <c:crosses val="autoZero"/>
        <c:crossBetween val="midCat"/>
        <c:dispUnits/>
      </c:valAx>
      <c:valAx>
        <c:axId val="29614218"/>
        <c:scaling>
          <c:orientation val="minMax"/>
        </c:scaling>
        <c:axPos val="l"/>
        <c:majorGridlines/>
        <c:delete val="0"/>
        <c:numFmt formatCode="General" sourceLinked="1"/>
        <c:majorTickMark val="out"/>
        <c:minorTickMark val="none"/>
        <c:tickLblPos val="nextTo"/>
        <c:crossAx val="3238969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'Chapter 38'!#REF!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38'!#REF!</c:f>
              <c:strCache>
                <c:ptCount val="1"/>
                <c:pt idx="0">
                  <c:v>0</c:v>
                </c:pt>
              </c:strCache>
            </c:strRef>
          </c:xVal>
          <c:yVal>
            <c:numRef>
              <c:f>'Chapter 38'!#REF!</c:f>
              <c:numCache>
                <c:ptCount val="1"/>
                <c:pt idx="0">
                  <c:v>0</c:v>
                </c:pt>
              </c:numCache>
            </c:numRef>
          </c:yVal>
          <c:smooth val="1"/>
        </c:ser>
        <c:axId val="61636835"/>
        <c:axId val="1750552"/>
      </c:scatterChart>
      <c:valAx>
        <c:axId val="61636835"/>
        <c:scaling>
          <c:orientation val="minMax"/>
        </c:scaling>
        <c:axPos val="b"/>
        <c:delete val="0"/>
        <c:numFmt formatCode="General" sourceLinked="1"/>
        <c:majorTickMark val="out"/>
        <c:minorTickMark val="none"/>
        <c:tickLblPos val="nextTo"/>
        <c:crossAx val="1750552"/>
        <c:crosses val="autoZero"/>
        <c:crossBetween val="midCat"/>
        <c:dispUnits/>
      </c:valAx>
      <c:valAx>
        <c:axId val="1750552"/>
        <c:scaling>
          <c:orientation val="minMax"/>
        </c:scaling>
        <c:axPos val="l"/>
        <c:majorGridlines/>
        <c:delete val="0"/>
        <c:numFmt formatCode="General" sourceLinked="1"/>
        <c:majorTickMark val="out"/>
        <c:minorTickMark val="none"/>
        <c:tickLblPos val="nextTo"/>
        <c:crossAx val="6163683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 Chapter 39'!#REF!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Chapter 39'!#REF!</c:f>
              <c:strCache>
                <c:ptCount val="1"/>
                <c:pt idx="0">
                  <c:v>0</c:v>
                </c:pt>
              </c:strCache>
            </c:strRef>
          </c:xVal>
          <c:yVal>
            <c:numRef>
              <c:f>' Chapter 39'!#REF!</c:f>
              <c:numCache>
                <c:ptCount val="1"/>
                <c:pt idx="0">
                  <c:v>0</c:v>
                </c:pt>
              </c:numCache>
            </c:numRef>
          </c:yVal>
          <c:smooth val="1"/>
        </c:ser>
        <c:axId val="39674809"/>
        <c:axId val="4244246"/>
      </c:scatterChart>
      <c:valAx>
        <c:axId val="39674809"/>
        <c:scaling>
          <c:orientation val="minMax"/>
        </c:scaling>
        <c:axPos val="b"/>
        <c:delete val="0"/>
        <c:numFmt formatCode="General" sourceLinked="1"/>
        <c:majorTickMark val="out"/>
        <c:minorTickMark val="none"/>
        <c:tickLblPos val="nextTo"/>
        <c:crossAx val="4244246"/>
        <c:crosses val="autoZero"/>
        <c:crossBetween val="midCat"/>
        <c:dispUnits/>
      </c:valAx>
      <c:valAx>
        <c:axId val="4244246"/>
        <c:scaling>
          <c:orientation val="minMax"/>
        </c:scaling>
        <c:axPos val="l"/>
        <c:majorGridlines/>
        <c:delete val="0"/>
        <c:numFmt formatCode="General" sourceLinked="1"/>
        <c:majorTickMark val="out"/>
        <c:minorTickMark val="none"/>
        <c:tickLblPos val="nextTo"/>
        <c:crossAx val="3967480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 Chapter 39'!#REF!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Chapter 39'!#REF!</c:f>
              <c:strCache>
                <c:ptCount val="1"/>
                <c:pt idx="0">
                  <c:v>0</c:v>
                </c:pt>
              </c:strCache>
            </c:strRef>
          </c:xVal>
          <c:yVal>
            <c:numRef>
              <c:f>' Chapter 39'!#REF!</c:f>
              <c:numCache>
                <c:ptCount val="1"/>
                <c:pt idx="0">
                  <c:v>0</c:v>
                </c:pt>
              </c:numCache>
            </c:numRef>
          </c:yVal>
          <c:smooth val="1"/>
        </c:ser>
        <c:axId val="57572415"/>
        <c:axId val="22256388"/>
      </c:scatterChart>
      <c:valAx>
        <c:axId val="57572415"/>
        <c:scaling>
          <c:orientation val="minMax"/>
        </c:scaling>
        <c:axPos val="b"/>
        <c:delete val="0"/>
        <c:numFmt formatCode="General" sourceLinked="1"/>
        <c:majorTickMark val="out"/>
        <c:minorTickMark val="none"/>
        <c:tickLblPos val="nextTo"/>
        <c:crossAx val="22256388"/>
        <c:crosses val="autoZero"/>
        <c:crossBetween val="midCat"/>
        <c:dispUnits/>
      </c:valAx>
      <c:valAx>
        <c:axId val="22256388"/>
        <c:scaling>
          <c:orientation val="minMax"/>
        </c:scaling>
        <c:axPos val="l"/>
        <c:majorGridlines/>
        <c:delete val="0"/>
        <c:numFmt formatCode="General" sourceLinked="1"/>
        <c:majorTickMark val="out"/>
        <c:minorTickMark val="none"/>
        <c:tickLblPos val="nextTo"/>
        <c:crossAx val="5757241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'Chapter 40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40 '!#REF!</c:f>
              <c:strCache>
                <c:ptCount val="1"/>
                <c:pt idx="0">
                  <c:v>1</c:v>
                </c:pt>
              </c:strCache>
            </c:strRef>
          </c:xVal>
          <c:yVal>
            <c:numRef>
              <c:f>'Chapter 40 '!#REF!</c:f>
              <c:numCache>
                <c:ptCount val="1"/>
                <c:pt idx="0">
                  <c:v>1</c:v>
                </c:pt>
              </c:numCache>
            </c:numRef>
          </c:yVal>
          <c:smooth val="1"/>
        </c:ser>
        <c:axId val="15462389"/>
        <c:axId val="3681634"/>
      </c:scatterChart>
      <c:valAx>
        <c:axId val="15462389"/>
        <c:scaling>
          <c:orientation val="minMax"/>
        </c:scaling>
        <c:axPos val="b"/>
        <c:delete val="0"/>
        <c:numFmt formatCode="General" sourceLinked="1"/>
        <c:majorTickMark val="out"/>
        <c:minorTickMark val="none"/>
        <c:tickLblPos val="nextTo"/>
        <c:crossAx val="3681634"/>
        <c:crosses val="autoZero"/>
        <c:crossBetween val="midCat"/>
        <c:dispUnits/>
      </c:valAx>
      <c:valAx>
        <c:axId val="3681634"/>
        <c:scaling>
          <c:orientation val="minMax"/>
        </c:scaling>
        <c:axPos val="l"/>
        <c:majorGridlines/>
        <c:delete val="0"/>
        <c:numFmt formatCode="General" sourceLinked="1"/>
        <c:majorTickMark val="out"/>
        <c:minorTickMark val="none"/>
        <c:tickLblPos val="nextTo"/>
        <c:crossAx val="1546238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'Chapter 40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40 '!#REF!</c:f>
              <c:strCache>
                <c:ptCount val="1"/>
                <c:pt idx="0">
                  <c:v>1</c:v>
                </c:pt>
              </c:strCache>
            </c:strRef>
          </c:xVal>
          <c:yVal>
            <c:numRef>
              <c:f>'Chapter 40 '!#REF!</c:f>
              <c:numCache>
                <c:ptCount val="1"/>
                <c:pt idx="0">
                  <c:v>1</c:v>
                </c:pt>
              </c:numCache>
            </c:numRef>
          </c:yVal>
          <c:smooth val="1"/>
        </c:ser>
        <c:axId val="23253083"/>
        <c:axId val="9151920"/>
      </c:scatterChart>
      <c:valAx>
        <c:axId val="23253083"/>
        <c:scaling>
          <c:orientation val="minMax"/>
        </c:scaling>
        <c:axPos val="b"/>
        <c:delete val="0"/>
        <c:numFmt formatCode="General" sourceLinked="1"/>
        <c:majorTickMark val="out"/>
        <c:minorTickMark val="none"/>
        <c:tickLblPos val="nextTo"/>
        <c:crossAx val="9151920"/>
        <c:crosses val="autoZero"/>
        <c:crossBetween val="midCat"/>
        <c:dispUnits/>
      </c:valAx>
      <c:valAx>
        <c:axId val="9151920"/>
        <c:scaling>
          <c:orientation val="minMax"/>
        </c:scaling>
        <c:axPos val="l"/>
        <c:majorGridlines/>
        <c:delete val="0"/>
        <c:numFmt formatCode="General" sourceLinked="1"/>
        <c:majorTickMark val="out"/>
        <c:minorTickMark val="none"/>
        <c:tickLblPos val="nextTo"/>
        <c:crossAx val="2325308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
          <c:w val="0.7175"/>
          <c:h val="0.99475"/>
        </c:manualLayout>
      </c:layout>
      <c:barChart>
        <c:barDir val="col"/>
        <c:grouping val="stacked"/>
        <c:varyColors val="0"/>
        <c:ser>
          <c:idx val="3"/>
          <c:order val="0"/>
          <c:tx>
            <c:strRef>
              <c:f>Chapter17!$D$110</c:f>
              <c:strCache>
                <c:ptCount val="1"/>
                <c:pt idx="0">
                  <c:v>Capital depreciation</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Chapter17!$D$111:$D$117</c:f>
              <c:numCache>
                <c:ptCount val="7"/>
                <c:pt idx="0">
                  <c:v>0</c:v>
                </c:pt>
                <c:pt idx="1">
                  <c:v>0</c:v>
                </c:pt>
                <c:pt idx="2">
                  <c:v>0</c:v>
                </c:pt>
                <c:pt idx="3">
                  <c:v>0</c:v>
                </c:pt>
                <c:pt idx="4">
                  <c:v>0</c:v>
                </c:pt>
                <c:pt idx="5">
                  <c:v>0</c:v>
                </c:pt>
                <c:pt idx="6">
                  <c:v>0</c:v>
                </c:pt>
              </c:numCache>
            </c:numRef>
          </c:val>
        </c:ser>
        <c:ser>
          <c:idx val="4"/>
          <c:order val="1"/>
          <c:tx>
            <c:strRef>
              <c:f>Chapter17!$E$110</c:f>
              <c:strCache>
                <c:ptCount val="1"/>
                <c:pt idx="0">
                  <c:v>Interests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Chapter17!$E$111:$E$117</c:f>
              <c:numCache>
                <c:ptCount val="7"/>
                <c:pt idx="0">
                  <c:v>0</c:v>
                </c:pt>
                <c:pt idx="1">
                  <c:v>0</c:v>
                </c:pt>
                <c:pt idx="2">
                  <c:v>0</c:v>
                </c:pt>
                <c:pt idx="3">
                  <c:v>0</c:v>
                </c:pt>
                <c:pt idx="4">
                  <c:v>0</c:v>
                </c:pt>
                <c:pt idx="5">
                  <c:v>0</c:v>
                </c:pt>
                <c:pt idx="6">
                  <c:v>0</c:v>
                </c:pt>
              </c:numCache>
            </c:numRef>
          </c:val>
        </c:ser>
        <c:overlap val="100"/>
        <c:axId val="30079795"/>
        <c:axId val="22928168"/>
      </c:barChart>
      <c:catAx>
        <c:axId val="30079795"/>
        <c:scaling>
          <c:orientation val="minMax"/>
        </c:scaling>
        <c:axPos val="b"/>
        <c:title>
          <c:tx>
            <c:rich>
              <a:bodyPr vert="horz" rot="0" anchor="ctr"/>
              <a:lstStyle/>
              <a:p>
                <a:pPr algn="ctr">
                  <a:defRPr/>
                </a:pPr>
                <a:r>
                  <a:rPr lang="en-US" cap="none" sz="800" b="1" i="0" u="none" baseline="0"/>
                  <a:t>Period</a:t>
                </a:r>
              </a:p>
            </c:rich>
          </c:tx>
          <c:layout>
            <c:manualLayout>
              <c:xMode val="factor"/>
              <c:yMode val="factor"/>
              <c:x val="0.02625"/>
              <c:y val="0.152"/>
            </c:manualLayout>
          </c:layout>
          <c:overlay val="0"/>
          <c:spPr>
            <a:noFill/>
            <a:ln>
              <a:noFill/>
            </a:ln>
          </c:spPr>
        </c:title>
        <c:delete val="0"/>
        <c:numFmt formatCode="General" sourceLinked="1"/>
        <c:majorTickMark val="out"/>
        <c:minorTickMark val="none"/>
        <c:tickLblPos val="nextTo"/>
        <c:crossAx val="22928168"/>
        <c:crosses val="autoZero"/>
        <c:auto val="1"/>
        <c:lblOffset val="100"/>
        <c:noMultiLvlLbl val="0"/>
      </c:catAx>
      <c:valAx>
        <c:axId val="22928168"/>
        <c:scaling>
          <c:orientation val="minMax"/>
        </c:scaling>
        <c:axPos val="l"/>
        <c:title>
          <c:tx>
            <c:rich>
              <a:bodyPr vert="horz" rot="-5400000" anchor="ctr"/>
              <a:lstStyle/>
              <a:p>
                <a:pPr algn="ctr">
                  <a:defRPr/>
                </a:pPr>
                <a:r>
                  <a:rPr lang="en-US" cap="none" sz="800" b="1" i="0" u="none" baseline="0"/>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525" b="0" i="0" u="none" baseline="0"/>
            </a:pPr>
          </a:p>
        </c:txPr>
        <c:crossAx val="30079795"/>
        <c:crossesAt val="1"/>
        <c:crossBetween val="between"/>
        <c:dispUnits/>
      </c:valAx>
      <c:spPr>
        <a:solidFill>
          <a:srgbClr val="C0C0C0"/>
        </a:solidFill>
        <a:ln w="12700">
          <a:solidFill>
            <a:srgbClr val="808080"/>
          </a:solidFill>
        </a:ln>
      </c:spPr>
    </c:plotArea>
    <c:legend>
      <c:legendPos val="r"/>
      <c:layout>
        <c:manualLayout>
          <c:xMode val="edge"/>
          <c:yMode val="edge"/>
          <c:x val="0.75225"/>
          <c:y val="0.3725"/>
        </c:manualLayout>
      </c:layout>
      <c:overlay val="0"/>
    </c:legend>
    <c:plotVisOnly val="1"/>
    <c:dispBlanksAs val="gap"/>
    <c:showDLblsOverMax val="0"/>
  </c:chart>
  <c:txPr>
    <a:bodyPr vert="horz" rot="0"/>
    <a:lstStyle/>
    <a:p>
      <a:pPr>
        <a:defRPr lang="en-US" cap="none" sz="800" b="0" i="0" u="none" baseline="0"/>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'Chapter 41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41 '!#REF!</c:f>
              <c:strCache>
                <c:ptCount val="1"/>
                <c:pt idx="0">
                  <c:v>0</c:v>
                </c:pt>
              </c:strCache>
            </c:strRef>
          </c:xVal>
          <c:yVal>
            <c:numRef>
              <c:f>'Chapter 41 '!#REF!</c:f>
              <c:numCache>
                <c:ptCount val="1"/>
                <c:pt idx="0">
                  <c:v>0</c:v>
                </c:pt>
              </c:numCache>
            </c:numRef>
          </c:yVal>
          <c:smooth val="1"/>
        </c:ser>
        <c:axId val="21396209"/>
        <c:axId val="30100334"/>
      </c:scatterChart>
      <c:valAx>
        <c:axId val="21396209"/>
        <c:scaling>
          <c:orientation val="minMax"/>
        </c:scaling>
        <c:axPos val="b"/>
        <c:delete val="0"/>
        <c:numFmt formatCode="General" sourceLinked="1"/>
        <c:majorTickMark val="out"/>
        <c:minorTickMark val="none"/>
        <c:tickLblPos val="nextTo"/>
        <c:crossAx val="30100334"/>
        <c:crosses val="autoZero"/>
        <c:crossBetween val="midCat"/>
        <c:dispUnits/>
      </c:valAx>
      <c:valAx>
        <c:axId val="30100334"/>
        <c:scaling>
          <c:orientation val="minMax"/>
        </c:scaling>
        <c:axPos val="l"/>
        <c:majorGridlines/>
        <c:delete val="0"/>
        <c:numFmt formatCode="General" sourceLinked="1"/>
        <c:majorTickMark val="out"/>
        <c:minorTickMark val="none"/>
        <c:tickLblPos val="nextTo"/>
        <c:crossAx val="2139620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'Chapter 41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41 '!#REF!</c:f>
              <c:strCache>
                <c:ptCount val="1"/>
                <c:pt idx="0">
                  <c:v>0</c:v>
                </c:pt>
              </c:strCache>
            </c:strRef>
          </c:xVal>
          <c:yVal>
            <c:numRef>
              <c:f>'Chapter 41 '!#REF!</c:f>
              <c:numCache>
                <c:ptCount val="1"/>
                <c:pt idx="0">
                  <c:v>0</c:v>
                </c:pt>
              </c:numCache>
            </c:numRef>
          </c:yVal>
          <c:smooth val="1"/>
        </c:ser>
        <c:axId val="24181047"/>
        <c:axId val="65757724"/>
      </c:scatterChart>
      <c:valAx>
        <c:axId val="24181047"/>
        <c:scaling>
          <c:orientation val="minMax"/>
        </c:scaling>
        <c:axPos val="b"/>
        <c:delete val="0"/>
        <c:numFmt formatCode="General" sourceLinked="1"/>
        <c:majorTickMark val="out"/>
        <c:minorTickMark val="none"/>
        <c:tickLblPos val="nextTo"/>
        <c:crossAx val="65757724"/>
        <c:crosses val="autoZero"/>
        <c:crossBetween val="midCat"/>
        <c:dispUnits/>
      </c:valAx>
      <c:valAx>
        <c:axId val="65757724"/>
        <c:scaling>
          <c:orientation val="minMax"/>
        </c:scaling>
        <c:axPos val="l"/>
        <c:majorGridlines/>
        <c:delete val="0"/>
        <c:numFmt formatCode="General" sourceLinked="1"/>
        <c:majorTickMark val="out"/>
        <c:minorTickMark val="none"/>
        <c:tickLblPos val="nextTo"/>
        <c:crossAx val="2418104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'Chapter 43'!#REF!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43'!#REF!</c:f>
              <c:strCache>
                <c:ptCount val="1"/>
                <c:pt idx="0">
                  <c:v>0</c:v>
                </c:pt>
              </c:strCache>
            </c:strRef>
          </c:xVal>
          <c:yVal>
            <c:numRef>
              <c:f>'Chapter 43'!#REF!</c:f>
              <c:numCache>
                <c:ptCount val="1"/>
                <c:pt idx="0">
                  <c:v>0</c:v>
                </c:pt>
              </c:numCache>
            </c:numRef>
          </c:yVal>
          <c:smooth val="1"/>
        </c:ser>
        <c:axId val="51798189"/>
        <c:axId val="5572922"/>
      </c:scatterChart>
      <c:valAx>
        <c:axId val="51798189"/>
        <c:scaling>
          <c:orientation val="minMax"/>
        </c:scaling>
        <c:axPos val="b"/>
        <c:delete val="0"/>
        <c:numFmt formatCode="General" sourceLinked="1"/>
        <c:majorTickMark val="out"/>
        <c:minorTickMark val="none"/>
        <c:tickLblPos val="nextTo"/>
        <c:crossAx val="5572922"/>
        <c:crosses val="autoZero"/>
        <c:crossBetween val="midCat"/>
        <c:dispUnits/>
      </c:valAx>
      <c:valAx>
        <c:axId val="5572922"/>
        <c:scaling>
          <c:orientation val="minMax"/>
        </c:scaling>
        <c:axPos val="l"/>
        <c:majorGridlines/>
        <c:delete val="0"/>
        <c:numFmt formatCode="General" sourceLinked="1"/>
        <c:majorTickMark val="out"/>
        <c:minorTickMark val="none"/>
        <c:tickLblPos val="nextTo"/>
        <c:crossAx val="5179818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'Chapter 43'!#REF!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43'!#REF!</c:f>
              <c:strCache>
                <c:ptCount val="1"/>
                <c:pt idx="0">
                  <c:v>0</c:v>
                </c:pt>
              </c:strCache>
            </c:strRef>
          </c:xVal>
          <c:yVal>
            <c:numRef>
              <c:f>'Chapter 43'!#REF!</c:f>
              <c:numCache>
                <c:ptCount val="1"/>
                <c:pt idx="0">
                  <c:v>0</c:v>
                </c:pt>
              </c:numCache>
            </c:numRef>
          </c:yVal>
          <c:smooth val="1"/>
        </c:ser>
        <c:axId val="4403923"/>
        <c:axId val="203848"/>
      </c:scatterChart>
      <c:valAx>
        <c:axId val="4403923"/>
        <c:scaling>
          <c:orientation val="minMax"/>
        </c:scaling>
        <c:axPos val="b"/>
        <c:delete val="0"/>
        <c:numFmt formatCode="General" sourceLinked="1"/>
        <c:majorTickMark val="out"/>
        <c:minorTickMark val="none"/>
        <c:tickLblPos val="nextTo"/>
        <c:crossAx val="203848"/>
        <c:crosses val="autoZero"/>
        <c:crossBetween val="midCat"/>
        <c:dispUnits/>
      </c:valAx>
      <c:valAx>
        <c:axId val="203848"/>
        <c:scaling>
          <c:orientation val="minMax"/>
        </c:scaling>
        <c:axPos val="l"/>
        <c:majorGridlines/>
        <c:delete val="0"/>
        <c:numFmt formatCode="General" sourceLinked="1"/>
        <c:majorTickMark val="out"/>
        <c:minorTickMark val="none"/>
        <c:tickLblPos val="nextTo"/>
        <c:crossAx val="440392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'Chapter 45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45 '!#REF!</c:f>
              <c:strCache>
                <c:ptCount val="1"/>
                <c:pt idx="0">
                  <c:v>0</c:v>
                </c:pt>
              </c:strCache>
            </c:strRef>
          </c:xVal>
          <c:yVal>
            <c:numRef>
              <c:f>'Chapter 45 '!#REF!</c:f>
              <c:numCache>
                <c:ptCount val="1"/>
                <c:pt idx="0">
                  <c:v>0</c:v>
                </c:pt>
              </c:numCache>
            </c:numRef>
          </c:yVal>
          <c:smooth val="1"/>
        </c:ser>
        <c:axId val="12434729"/>
        <c:axId val="20320966"/>
      </c:scatterChart>
      <c:valAx>
        <c:axId val="12434729"/>
        <c:scaling>
          <c:orientation val="minMax"/>
        </c:scaling>
        <c:axPos val="b"/>
        <c:delete val="0"/>
        <c:numFmt formatCode="General" sourceLinked="1"/>
        <c:majorTickMark val="out"/>
        <c:minorTickMark val="none"/>
        <c:tickLblPos val="nextTo"/>
        <c:crossAx val="20320966"/>
        <c:crosses val="autoZero"/>
        <c:crossBetween val="midCat"/>
        <c:dispUnits/>
      </c:valAx>
      <c:valAx>
        <c:axId val="20320966"/>
        <c:scaling>
          <c:orientation val="minMax"/>
        </c:scaling>
        <c:axPos val="l"/>
        <c:majorGridlines/>
        <c:delete val="0"/>
        <c:numFmt formatCode="General" sourceLinked="1"/>
        <c:majorTickMark val="out"/>
        <c:minorTickMark val="none"/>
        <c:tickLblPos val="nextTo"/>
        <c:crossAx val="1243472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'Chapter 45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45 '!#REF!</c:f>
              <c:strCache>
                <c:ptCount val="1"/>
                <c:pt idx="0">
                  <c:v>0</c:v>
                </c:pt>
              </c:strCache>
            </c:strRef>
          </c:xVal>
          <c:yVal>
            <c:numRef>
              <c:f>'Chapter 45 '!#REF!</c:f>
              <c:numCache>
                <c:ptCount val="1"/>
                <c:pt idx="0">
                  <c:v>0</c:v>
                </c:pt>
              </c:numCache>
            </c:numRef>
          </c:yVal>
          <c:smooth val="1"/>
        </c:ser>
        <c:axId val="31619375"/>
        <c:axId val="49733684"/>
      </c:scatterChart>
      <c:valAx>
        <c:axId val="31619375"/>
        <c:scaling>
          <c:orientation val="minMax"/>
        </c:scaling>
        <c:axPos val="b"/>
        <c:delete val="0"/>
        <c:numFmt formatCode="General" sourceLinked="1"/>
        <c:majorTickMark val="out"/>
        <c:minorTickMark val="none"/>
        <c:tickLblPos val="nextTo"/>
        <c:crossAx val="49733684"/>
        <c:crosses val="autoZero"/>
        <c:crossBetween val="midCat"/>
        <c:dispUnits/>
      </c:valAx>
      <c:valAx>
        <c:axId val="49733684"/>
        <c:scaling>
          <c:orientation val="minMax"/>
        </c:scaling>
        <c:axPos val="l"/>
        <c:majorGridlines/>
        <c:delete val="0"/>
        <c:numFmt formatCode="General" sourceLinked="1"/>
        <c:majorTickMark val="out"/>
        <c:minorTickMark val="none"/>
        <c:tickLblPos val="nextTo"/>
        <c:crossAx val="3161937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 Chapter 48'!#REF!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Chapter 48'!#REF!</c:f>
              <c:strCache>
                <c:ptCount val="1"/>
                <c:pt idx="0">
                  <c:v>1</c:v>
                </c:pt>
              </c:strCache>
            </c:strRef>
          </c:xVal>
          <c:yVal>
            <c:numRef>
              <c:f>' Chapter 48'!#REF!</c:f>
              <c:numCache>
                <c:ptCount val="1"/>
                <c:pt idx="0">
                  <c:v>1</c:v>
                </c:pt>
              </c:numCache>
            </c:numRef>
          </c:yVal>
          <c:smooth val="1"/>
        </c:ser>
        <c:axId val="13855845"/>
        <c:axId val="39900178"/>
      </c:scatterChart>
      <c:valAx>
        <c:axId val="13855845"/>
        <c:scaling>
          <c:orientation val="minMax"/>
        </c:scaling>
        <c:axPos val="b"/>
        <c:delete val="0"/>
        <c:numFmt formatCode="General" sourceLinked="1"/>
        <c:majorTickMark val="out"/>
        <c:minorTickMark val="none"/>
        <c:tickLblPos val="nextTo"/>
        <c:crossAx val="39900178"/>
        <c:crosses val="autoZero"/>
        <c:crossBetween val="midCat"/>
        <c:dispUnits/>
      </c:valAx>
      <c:valAx>
        <c:axId val="39900178"/>
        <c:scaling>
          <c:orientation val="minMax"/>
        </c:scaling>
        <c:axPos val="l"/>
        <c:majorGridlines/>
        <c:delete val="0"/>
        <c:numFmt formatCode="General" sourceLinked="1"/>
        <c:majorTickMark val="out"/>
        <c:minorTickMark val="none"/>
        <c:tickLblPos val="nextTo"/>
        <c:crossAx val="1385584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 Chapter 48'!#REF!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Chapter 48'!#REF!</c:f>
              <c:strCache>
                <c:ptCount val="1"/>
                <c:pt idx="0">
                  <c:v>1</c:v>
                </c:pt>
              </c:strCache>
            </c:strRef>
          </c:xVal>
          <c:yVal>
            <c:numRef>
              <c:f>' Chapter 48'!#REF!</c:f>
              <c:numCache>
                <c:ptCount val="1"/>
                <c:pt idx="0">
                  <c:v>1</c:v>
                </c:pt>
              </c:numCache>
            </c:numRef>
          </c:yVal>
          <c:smooth val="1"/>
        </c:ser>
        <c:axId val="17991755"/>
        <c:axId val="23755232"/>
      </c:scatterChart>
      <c:valAx>
        <c:axId val="17991755"/>
        <c:scaling>
          <c:orientation val="minMax"/>
        </c:scaling>
        <c:axPos val="b"/>
        <c:delete val="0"/>
        <c:numFmt formatCode="General" sourceLinked="1"/>
        <c:majorTickMark val="out"/>
        <c:minorTickMark val="none"/>
        <c:tickLblPos val="nextTo"/>
        <c:crossAx val="23755232"/>
        <c:crosses val="autoZero"/>
        <c:crossBetween val="midCat"/>
        <c:dispUnits/>
      </c:valAx>
      <c:valAx>
        <c:axId val="23755232"/>
        <c:scaling>
          <c:orientation val="minMax"/>
        </c:scaling>
        <c:axPos val="l"/>
        <c:majorGridlines/>
        <c:delete val="0"/>
        <c:numFmt formatCode="General" sourceLinked="1"/>
        <c:majorTickMark val="out"/>
        <c:minorTickMark val="none"/>
        <c:tickLblPos val="nextTo"/>
        <c:crossAx val="1799175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
          <c:w val="0.717"/>
          <c:h val="0.9955"/>
        </c:manualLayout>
      </c:layout>
      <c:barChart>
        <c:barDir val="col"/>
        <c:grouping val="stacked"/>
        <c:varyColors val="0"/>
        <c:ser>
          <c:idx val="3"/>
          <c:order val="0"/>
          <c:tx>
            <c:strRef>
              <c:f>Chapter17!$D$125</c:f>
              <c:strCache>
                <c:ptCount val="1"/>
                <c:pt idx="0">
                  <c:v>Capital depreciation</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Chapter17!$D$126:$D$132</c:f>
              <c:numCache>
                <c:ptCount val="7"/>
                <c:pt idx="0">
                  <c:v>0</c:v>
                </c:pt>
                <c:pt idx="1">
                  <c:v>0</c:v>
                </c:pt>
                <c:pt idx="2">
                  <c:v>0</c:v>
                </c:pt>
                <c:pt idx="3">
                  <c:v>0</c:v>
                </c:pt>
                <c:pt idx="4">
                  <c:v>0</c:v>
                </c:pt>
                <c:pt idx="5">
                  <c:v>0</c:v>
                </c:pt>
                <c:pt idx="6">
                  <c:v>0</c:v>
                </c:pt>
              </c:numCache>
            </c:numRef>
          </c:val>
        </c:ser>
        <c:ser>
          <c:idx val="4"/>
          <c:order val="1"/>
          <c:tx>
            <c:strRef>
              <c:f>Chapter17!$E$125</c:f>
              <c:strCache>
                <c:ptCount val="1"/>
                <c:pt idx="0">
                  <c:v>Interests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Chapter17!$E$126:$E$132</c:f>
              <c:numCache>
                <c:ptCount val="7"/>
                <c:pt idx="0">
                  <c:v>0</c:v>
                </c:pt>
                <c:pt idx="1">
                  <c:v>0</c:v>
                </c:pt>
                <c:pt idx="2">
                  <c:v>0</c:v>
                </c:pt>
                <c:pt idx="3">
                  <c:v>0</c:v>
                </c:pt>
                <c:pt idx="4">
                  <c:v>0</c:v>
                </c:pt>
                <c:pt idx="5">
                  <c:v>0</c:v>
                </c:pt>
                <c:pt idx="6">
                  <c:v>0</c:v>
                </c:pt>
              </c:numCache>
            </c:numRef>
          </c:val>
        </c:ser>
        <c:overlap val="100"/>
        <c:axId val="56440969"/>
        <c:axId val="20347046"/>
      </c:barChart>
      <c:catAx>
        <c:axId val="56440969"/>
        <c:scaling>
          <c:orientation val="minMax"/>
        </c:scaling>
        <c:axPos val="b"/>
        <c:title>
          <c:tx>
            <c:rich>
              <a:bodyPr vert="horz" rot="0" anchor="ctr"/>
              <a:lstStyle/>
              <a:p>
                <a:pPr algn="ctr">
                  <a:defRPr/>
                </a:pPr>
                <a:r>
                  <a:rPr lang="en-US" cap="none" sz="800" b="1" i="0" u="none" baseline="0"/>
                  <a:t>Period</a:t>
                </a:r>
              </a:p>
            </c:rich>
          </c:tx>
          <c:layout>
            <c:manualLayout>
              <c:xMode val="factor"/>
              <c:yMode val="factor"/>
              <c:x val="0.02625"/>
              <c:y val="0.152"/>
            </c:manualLayout>
          </c:layout>
          <c:overlay val="0"/>
          <c:spPr>
            <a:noFill/>
            <a:ln>
              <a:noFill/>
            </a:ln>
          </c:spPr>
        </c:title>
        <c:delete val="0"/>
        <c:numFmt formatCode="General" sourceLinked="1"/>
        <c:majorTickMark val="out"/>
        <c:minorTickMark val="none"/>
        <c:tickLblPos val="nextTo"/>
        <c:crossAx val="20347046"/>
        <c:crosses val="autoZero"/>
        <c:auto val="1"/>
        <c:lblOffset val="100"/>
        <c:noMultiLvlLbl val="0"/>
      </c:catAx>
      <c:valAx>
        <c:axId val="20347046"/>
        <c:scaling>
          <c:orientation val="minMax"/>
        </c:scaling>
        <c:axPos val="l"/>
        <c:title>
          <c:tx>
            <c:rich>
              <a:bodyPr vert="horz" rot="-5400000" anchor="ctr"/>
              <a:lstStyle/>
              <a:p>
                <a:pPr algn="ctr">
                  <a:defRPr/>
                </a:pPr>
                <a:r>
                  <a:rPr lang="en-US" cap="none" sz="800" b="1" i="0" u="none" baseline="0"/>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550" b="0" i="0" u="none" baseline="0"/>
            </a:pPr>
          </a:p>
        </c:txPr>
        <c:crossAx val="56440969"/>
        <c:crossesAt val="1"/>
        <c:crossBetween val="between"/>
        <c:dispUnits/>
      </c:valAx>
      <c:spPr>
        <a:solidFill>
          <a:srgbClr val="C0C0C0"/>
        </a:solidFill>
        <a:ln w="12700">
          <a:solidFill>
            <a:srgbClr val="808080"/>
          </a:solidFill>
        </a:ln>
      </c:spPr>
    </c:plotArea>
    <c:legend>
      <c:legendPos val="r"/>
      <c:layout>
        <c:manualLayout>
          <c:xMode val="edge"/>
          <c:yMode val="edge"/>
          <c:x val="0.75275"/>
          <c:y val="0.36975"/>
        </c:manualLayout>
      </c:layout>
      <c:overlay val="0"/>
    </c:legend>
    <c:plotVisOnly val="1"/>
    <c:dispBlanksAs val="gap"/>
    <c:showDLblsOverMax val="0"/>
  </c:chart>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'Chapter 18'!#REF!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18'!#REF!</c:f>
              <c:strCache>
                <c:ptCount val="1"/>
                <c:pt idx="0">
                  <c:v>0</c:v>
                </c:pt>
              </c:strCache>
            </c:strRef>
          </c:xVal>
          <c:yVal>
            <c:numRef>
              <c:f>'Chapter 18'!#REF!</c:f>
              <c:numCache>
                <c:ptCount val="1"/>
                <c:pt idx="0">
                  <c:v>0</c:v>
                </c:pt>
              </c:numCache>
            </c:numRef>
          </c:yVal>
          <c:smooth val="1"/>
        </c:ser>
        <c:axId val="33210255"/>
        <c:axId val="12559636"/>
      </c:scatterChart>
      <c:valAx>
        <c:axId val="33210255"/>
        <c:scaling>
          <c:orientation val="minMax"/>
        </c:scaling>
        <c:axPos val="b"/>
        <c:delete val="0"/>
        <c:numFmt formatCode="General" sourceLinked="1"/>
        <c:majorTickMark val="out"/>
        <c:minorTickMark val="none"/>
        <c:tickLblPos val="nextTo"/>
        <c:crossAx val="12559636"/>
        <c:crosses val="autoZero"/>
        <c:crossBetween val="midCat"/>
        <c:dispUnits/>
      </c:valAx>
      <c:valAx>
        <c:axId val="12559636"/>
        <c:scaling>
          <c:orientation val="minMax"/>
        </c:scaling>
        <c:axPos val="l"/>
        <c:majorGridlines/>
        <c:delete val="0"/>
        <c:numFmt formatCode="General" sourceLinked="1"/>
        <c:majorTickMark val="out"/>
        <c:minorTickMark val="none"/>
        <c:tickLblPos val="nextTo"/>
        <c:crossAx val="3321025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'Chapter 18'!#REF!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'Chapter 18'!#REF!</c:f>
              <c:strCache>
                <c:ptCount val="1"/>
                <c:pt idx="0">
                  <c:v>0</c:v>
                </c:pt>
              </c:strCache>
            </c:strRef>
          </c:xVal>
          <c:yVal>
            <c:numRef>
              <c:f>'Chapter 18'!#REF!</c:f>
              <c:numCache>
                <c:ptCount val="1"/>
                <c:pt idx="0">
                  <c:v>0</c:v>
                </c:pt>
              </c:numCache>
            </c:numRef>
          </c:yVal>
          <c:smooth val="1"/>
        </c:ser>
        <c:axId val="27940293"/>
        <c:axId val="26636274"/>
      </c:scatterChart>
      <c:valAx>
        <c:axId val="27940293"/>
        <c:scaling>
          <c:orientation val="minMax"/>
        </c:scaling>
        <c:axPos val="b"/>
        <c:delete val="0"/>
        <c:numFmt formatCode="General" sourceLinked="1"/>
        <c:majorTickMark val="out"/>
        <c:minorTickMark val="none"/>
        <c:tickLblPos val="nextTo"/>
        <c:crossAx val="26636274"/>
        <c:crosses val="autoZero"/>
        <c:crossBetween val="midCat"/>
        <c:dispUnits/>
      </c:valAx>
      <c:valAx>
        <c:axId val="26636274"/>
        <c:scaling>
          <c:orientation val="minMax"/>
        </c:scaling>
        <c:axPos val="l"/>
        <c:majorGridlines/>
        <c:delete val="0"/>
        <c:numFmt formatCode="General" sourceLinked="1"/>
        <c:majorTickMark val="out"/>
        <c:minorTickMark val="none"/>
        <c:tickLblPos val="nextTo"/>
        <c:crossAx val="2794029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NPV profile</a:t>
            </a:r>
          </a:p>
        </c:rich>
      </c:tx>
      <c:layout>
        <c:manualLayout>
          <c:xMode val="factor"/>
          <c:yMode val="factor"/>
          <c:x val="-0.004"/>
          <c:y val="0.0045"/>
        </c:manualLayout>
      </c:layout>
      <c:spPr>
        <a:noFill/>
        <a:ln>
          <a:noFill/>
        </a:ln>
      </c:spPr>
    </c:title>
    <c:plotArea>
      <c:layout>
        <c:manualLayout>
          <c:xMode val="edge"/>
          <c:yMode val="edge"/>
          <c:x val="0.07225"/>
          <c:y val="0.1315"/>
          <c:w val="0.8925"/>
          <c:h val="0.65825"/>
        </c:manualLayout>
      </c:layout>
      <c:scatterChart>
        <c:scatterStyle val="smoothMarker"/>
        <c:varyColors val="0"/>
        <c:ser>
          <c:idx val="0"/>
          <c:order val="0"/>
          <c:tx>
            <c:strRef>
              <c:f>'Chapter 18'!$A$87</c:f>
              <c:strCache>
                <c:ptCount val="1"/>
                <c:pt idx="0">
                  <c:v>NPV</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'Chapter 18'!$B$86:$G$86</c:f>
              <c:numCache>
                <c:ptCount val="6"/>
                <c:pt idx="0">
                  <c:v>0</c:v>
                </c:pt>
                <c:pt idx="1">
                  <c:v>0</c:v>
                </c:pt>
                <c:pt idx="2">
                  <c:v>0</c:v>
                </c:pt>
                <c:pt idx="3">
                  <c:v>0</c:v>
                </c:pt>
                <c:pt idx="4">
                  <c:v>0</c:v>
                </c:pt>
                <c:pt idx="5">
                  <c:v>0</c:v>
                </c:pt>
              </c:numCache>
            </c:numRef>
          </c:xVal>
          <c:yVal>
            <c:numRef>
              <c:f>'Chapter 18'!$B$87:$G$87</c:f>
              <c:numCache>
                <c:ptCount val="6"/>
                <c:pt idx="0">
                  <c:v>0</c:v>
                </c:pt>
                <c:pt idx="1">
                  <c:v>0</c:v>
                </c:pt>
                <c:pt idx="2">
                  <c:v>0</c:v>
                </c:pt>
                <c:pt idx="3">
                  <c:v>0</c:v>
                </c:pt>
                <c:pt idx="4">
                  <c:v>0</c:v>
                </c:pt>
                <c:pt idx="5">
                  <c:v>0</c:v>
                </c:pt>
              </c:numCache>
            </c:numRef>
          </c:yVal>
          <c:smooth val="1"/>
        </c:ser>
        <c:axId val="14199979"/>
        <c:axId val="60892352"/>
      </c:scatterChart>
      <c:valAx>
        <c:axId val="14199979"/>
        <c:scaling>
          <c:orientation val="minMax"/>
          <c:min val="0.09"/>
        </c:scaling>
        <c:axPos val="b"/>
        <c:title>
          <c:tx>
            <c:rich>
              <a:bodyPr vert="horz" rot="0" anchor="ctr"/>
              <a:lstStyle/>
              <a:p>
                <a:pPr algn="ctr">
                  <a:defRPr/>
                </a:pPr>
                <a:r>
                  <a:rPr lang="en-US" cap="none" sz="825" b="1" i="0" u="none" baseline="0"/>
                  <a:t>Required rate of return</a:t>
                </a:r>
              </a:p>
            </c:rich>
          </c:tx>
          <c:layout/>
          <c:overlay val="0"/>
          <c:spPr>
            <a:noFill/>
            <a:ln>
              <a:noFill/>
            </a:ln>
          </c:spPr>
        </c:title>
        <c:delete val="0"/>
        <c:numFmt formatCode="General" sourceLinked="1"/>
        <c:majorTickMark val="out"/>
        <c:minorTickMark val="none"/>
        <c:tickLblPos val="nextTo"/>
        <c:crossAx val="60892352"/>
        <c:crosses val="autoZero"/>
        <c:crossBetween val="midCat"/>
        <c:dispUnits/>
      </c:valAx>
      <c:valAx>
        <c:axId val="60892352"/>
        <c:scaling>
          <c:orientation val="minMax"/>
        </c:scaling>
        <c:axPos val="l"/>
        <c:title>
          <c:tx>
            <c:rich>
              <a:bodyPr vert="horz" rot="-5400000" anchor="ctr"/>
              <a:lstStyle/>
              <a:p>
                <a:pPr algn="ctr">
                  <a:defRPr/>
                </a:pPr>
                <a:r>
                  <a:rPr lang="en-US" cap="none" sz="825" b="1" i="0" u="none" baseline="0"/>
                  <a:t>NPV</a:t>
                </a:r>
              </a:p>
            </c:rich>
          </c:tx>
          <c:layout/>
          <c:overlay val="0"/>
          <c:spPr>
            <a:noFill/>
            <a:ln>
              <a:noFill/>
            </a:ln>
          </c:spPr>
        </c:title>
        <c:majorGridlines/>
        <c:delete val="0"/>
        <c:numFmt formatCode="General" sourceLinked="1"/>
        <c:majorTickMark val="out"/>
        <c:minorTickMark val="none"/>
        <c:tickLblPos val="nextTo"/>
        <c:crossAx val="1419997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 Id="rId3" Type="http://schemas.openxmlformats.org/officeDocument/2006/relationships/chart" Target="/xl/charts/chart3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50.xml" /><Relationship Id="rId2" Type="http://schemas.openxmlformats.org/officeDocument/2006/relationships/chart" Target="/xl/charts/chart51.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52.xml" /><Relationship Id="rId2" Type="http://schemas.openxmlformats.org/officeDocument/2006/relationships/chart" Target="/xl/charts/chart5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54.xml" /><Relationship Id="rId2" Type="http://schemas.openxmlformats.org/officeDocument/2006/relationships/chart" Target="/xl/charts/chart5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56.xml" /><Relationship Id="rId2" Type="http://schemas.openxmlformats.org/officeDocument/2006/relationships/chart" Target="/xl/charts/chart5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chart" Target="/xl/charts/chart13.xml" /><Relationship Id="rId8"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19</xdr:row>
      <xdr:rowOff>9525</xdr:rowOff>
    </xdr:from>
    <xdr:to>
      <xdr:col>8</xdr:col>
      <xdr:colOff>666750</xdr:colOff>
      <xdr:row>22</xdr:row>
      <xdr:rowOff>76200</xdr:rowOff>
    </xdr:to>
    <xdr:sp>
      <xdr:nvSpPr>
        <xdr:cNvPr id="1" name="TextBox 1"/>
        <xdr:cNvSpPr txBox="1">
          <a:spLocks noChangeArrowheads="1"/>
        </xdr:cNvSpPr>
      </xdr:nvSpPr>
      <xdr:spPr>
        <a:xfrm>
          <a:off x="3924300" y="3105150"/>
          <a:ext cx="372427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M owns 80% of S: full consolidation
M owns 50% of S: proportionate consolidation
M owns 20% of S: equity method of accounting</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95250</xdr:rowOff>
    </xdr:from>
    <xdr:to>
      <xdr:col>0</xdr:col>
      <xdr:colOff>0</xdr:colOff>
      <xdr:row>38</xdr:row>
      <xdr:rowOff>0</xdr:rowOff>
    </xdr:to>
    <xdr:sp>
      <xdr:nvSpPr>
        <xdr:cNvPr id="1" name="TextBox 1"/>
        <xdr:cNvSpPr txBox="1">
          <a:spLocks noChangeArrowheads="1"/>
        </xdr:cNvSpPr>
      </xdr:nvSpPr>
      <xdr:spPr>
        <a:xfrm>
          <a:off x="0" y="5838825"/>
          <a:ext cx="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38</xdr:row>
      <xdr:rowOff>0</xdr:rowOff>
    </xdr:from>
    <xdr:to>
      <xdr:col>0</xdr:col>
      <xdr:colOff>0</xdr:colOff>
      <xdr:row>38</xdr:row>
      <xdr:rowOff>0</xdr:rowOff>
    </xdr:to>
    <xdr:sp>
      <xdr:nvSpPr>
        <xdr:cNvPr id="2" name="TextBox 2"/>
        <xdr:cNvSpPr txBox="1">
          <a:spLocks noChangeArrowheads="1"/>
        </xdr:cNvSpPr>
      </xdr:nvSpPr>
      <xdr:spPr>
        <a:xfrm>
          <a:off x="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1</xdr:row>
      <xdr:rowOff>38100</xdr:rowOff>
    </xdr:from>
    <xdr:to>
      <xdr:col>0</xdr:col>
      <xdr:colOff>0</xdr:colOff>
      <xdr:row>4</xdr:row>
      <xdr:rowOff>95250</xdr:rowOff>
    </xdr:to>
    <xdr:sp>
      <xdr:nvSpPr>
        <xdr:cNvPr id="3" name="TextBox 3"/>
        <xdr:cNvSpPr txBox="1">
          <a:spLocks noChangeArrowheads="1"/>
        </xdr:cNvSpPr>
      </xdr:nvSpPr>
      <xdr:spPr>
        <a:xfrm>
          <a:off x="0" y="219075"/>
          <a:ext cx="0"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32</xdr:row>
      <xdr:rowOff>95250</xdr:rowOff>
    </xdr:from>
    <xdr:to>
      <xdr:col>0</xdr:col>
      <xdr:colOff>0</xdr:colOff>
      <xdr:row>38</xdr:row>
      <xdr:rowOff>0</xdr:rowOff>
    </xdr:to>
    <xdr:graphicFrame>
      <xdr:nvGraphicFramePr>
        <xdr:cNvPr id="4" name="Chart 4"/>
        <xdr:cNvGraphicFramePr/>
      </xdr:nvGraphicFramePr>
      <xdr:xfrm>
        <a:off x="0" y="5353050"/>
        <a:ext cx="0" cy="876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0</xdr:col>
      <xdr:colOff>0</xdr:colOff>
      <xdr:row>38</xdr:row>
      <xdr:rowOff>0</xdr:rowOff>
    </xdr:to>
    <xdr:graphicFrame>
      <xdr:nvGraphicFramePr>
        <xdr:cNvPr id="5" name="Chart 5"/>
        <xdr:cNvGraphicFramePr/>
      </xdr:nvGraphicFramePr>
      <xdr:xfrm>
        <a:off x="0" y="6229350"/>
        <a:ext cx="0" cy="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466725</xdr:colOff>
      <xdr:row>0</xdr:row>
      <xdr:rowOff>0</xdr:rowOff>
    </xdr:from>
    <xdr:to>
      <xdr:col>5</xdr:col>
      <xdr:colOff>314325</xdr:colOff>
      <xdr:row>0</xdr:row>
      <xdr:rowOff>0</xdr:rowOff>
    </xdr:to>
    <xdr:sp>
      <xdr:nvSpPr>
        <xdr:cNvPr id="6" name="TextBox 6"/>
        <xdr:cNvSpPr txBox="1">
          <a:spLocks noChangeArrowheads="1"/>
        </xdr:cNvSpPr>
      </xdr:nvSpPr>
      <xdr:spPr>
        <a:xfrm>
          <a:off x="3171825" y="0"/>
          <a:ext cx="2362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sng" baseline="0">
              <a:latin typeface="Verdana"/>
              <a:ea typeface="Verdana"/>
              <a:cs typeface="Verdana"/>
            </a:rPr>
            <a:t>Note:</a:t>
          </a:r>
          <a:r>
            <a:rPr lang="en-US" cap="none" sz="800" b="1" i="0" u="none" baseline="0">
              <a:latin typeface="Verdana"/>
              <a:ea typeface="Verdana"/>
              <a:cs typeface="Verdana"/>
            </a:rPr>
            <a:t> attention, il s'agit de le déduire des impôts et non du revenu avant impôt… (ce qui a encore moins de chance d'être voté !)</a:t>
          </a:r>
        </a:p>
      </xdr:txBody>
    </xdr:sp>
    <xdr:clientData/>
  </xdr:twoCellAnchor>
  <xdr:twoCellAnchor>
    <xdr:from>
      <xdr:col>2</xdr:col>
      <xdr:colOff>428625</xdr:colOff>
      <xdr:row>0</xdr:row>
      <xdr:rowOff>0</xdr:rowOff>
    </xdr:from>
    <xdr:to>
      <xdr:col>4</xdr:col>
      <xdr:colOff>647700</xdr:colOff>
      <xdr:row>0</xdr:row>
      <xdr:rowOff>0</xdr:rowOff>
    </xdr:to>
    <xdr:sp>
      <xdr:nvSpPr>
        <xdr:cNvPr id="7" name="TextBox 7"/>
        <xdr:cNvSpPr txBox="1">
          <a:spLocks noChangeArrowheads="1"/>
        </xdr:cNvSpPr>
      </xdr:nvSpPr>
      <xdr:spPr>
        <a:xfrm>
          <a:off x="3133725" y="0"/>
          <a:ext cx="1895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Léger écart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1</xdr:col>
      <xdr:colOff>276225</xdr:colOff>
      <xdr:row>0</xdr:row>
      <xdr:rowOff>0</xdr:rowOff>
    </xdr:from>
    <xdr:to>
      <xdr:col>1</xdr:col>
      <xdr:colOff>619125</xdr:colOff>
      <xdr:row>0</xdr:row>
      <xdr:rowOff>0</xdr:rowOff>
    </xdr:to>
    <xdr:sp>
      <xdr:nvSpPr>
        <xdr:cNvPr id="6" name="AutoShape 7"/>
        <xdr:cNvSpPr>
          <a:spLocks/>
        </xdr:cNvSpPr>
      </xdr:nvSpPr>
      <xdr:spPr>
        <a:xfrm>
          <a:off x="1857375" y="0"/>
          <a:ext cx="342900" cy="0"/>
        </a:xfrm>
        <a:prstGeom prst="lef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276225</xdr:colOff>
      <xdr:row>0</xdr:row>
      <xdr:rowOff>0</xdr:rowOff>
    </xdr:from>
    <xdr:to>
      <xdr:col>1</xdr:col>
      <xdr:colOff>619125</xdr:colOff>
      <xdr:row>0</xdr:row>
      <xdr:rowOff>0</xdr:rowOff>
    </xdr:to>
    <xdr:sp>
      <xdr:nvSpPr>
        <xdr:cNvPr id="7" name="AutoShape 8"/>
        <xdr:cNvSpPr>
          <a:spLocks/>
        </xdr:cNvSpPr>
      </xdr:nvSpPr>
      <xdr:spPr>
        <a:xfrm>
          <a:off x="1857375" y="0"/>
          <a:ext cx="342900" cy="0"/>
        </a:xfrm>
        <a:prstGeom prst="lef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55</xdr:row>
      <xdr:rowOff>0</xdr:rowOff>
    </xdr:from>
    <xdr:to>
      <xdr:col>6</xdr:col>
      <xdr:colOff>0</xdr:colOff>
      <xdr:row>55</xdr:row>
      <xdr:rowOff>0</xdr:rowOff>
    </xdr:to>
    <xdr:graphicFrame>
      <xdr:nvGraphicFramePr>
        <xdr:cNvPr id="6" name="Chart 7"/>
        <xdr:cNvGraphicFramePr/>
      </xdr:nvGraphicFramePr>
      <xdr:xfrm>
        <a:off x="9525" y="9144000"/>
        <a:ext cx="5800725" cy="0"/>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85</xdr:row>
      <xdr:rowOff>0</xdr:rowOff>
    </xdr:from>
    <xdr:to>
      <xdr:col>1</xdr:col>
      <xdr:colOff>809625</xdr:colOff>
      <xdr:row>85</xdr:row>
      <xdr:rowOff>0</xdr:rowOff>
    </xdr:to>
    <xdr:sp>
      <xdr:nvSpPr>
        <xdr:cNvPr id="1" name="TextBox 4"/>
        <xdr:cNvSpPr txBox="1">
          <a:spLocks noChangeArrowheads="1"/>
        </xdr:cNvSpPr>
      </xdr:nvSpPr>
      <xdr:spPr>
        <a:xfrm>
          <a:off x="47625" y="13935075"/>
          <a:ext cx="4162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Dans ce cas de calcul, la rentabilité a été calculée en intégrant les immobilisations financières et leurs produits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102</xdr:row>
      <xdr:rowOff>0</xdr:rowOff>
    </xdr:from>
    <xdr:to>
      <xdr:col>5</xdr:col>
      <xdr:colOff>781050</xdr:colOff>
      <xdr:row>102</xdr:row>
      <xdr:rowOff>0</xdr:rowOff>
    </xdr:to>
    <xdr:sp>
      <xdr:nvSpPr>
        <xdr:cNvPr id="6" name="TextBox 7"/>
        <xdr:cNvSpPr txBox="1">
          <a:spLocks noChangeArrowheads="1"/>
        </xdr:cNvSpPr>
      </xdr:nvSpPr>
      <xdr:spPr>
        <a:xfrm>
          <a:off x="123825" y="17449800"/>
          <a:ext cx="64389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Ecia a bien exploité le rachat de Bertrand Faure et l'a fait en négociant bien le coût de la dette. Il n'est sans doute pas en mesure de prolonger ces conditions.
Cours assez volatil dû sans doute au fort risque associé au rachat de Bertrand Faure. La prime d'emission est très élevée et devrait inciter les anciens actionnaires à ne pas suivre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6</xdr:col>
      <xdr:colOff>114300</xdr:colOff>
      <xdr:row>45</xdr:row>
      <xdr:rowOff>9525</xdr:rowOff>
    </xdr:from>
    <xdr:to>
      <xdr:col>6</xdr:col>
      <xdr:colOff>657225</xdr:colOff>
      <xdr:row>46</xdr:row>
      <xdr:rowOff>47625</xdr:rowOff>
    </xdr:to>
    <xdr:sp>
      <xdr:nvSpPr>
        <xdr:cNvPr id="6" name="AutoShape 11"/>
        <xdr:cNvSpPr>
          <a:spLocks/>
        </xdr:cNvSpPr>
      </xdr:nvSpPr>
      <xdr:spPr>
        <a:xfrm rot="10820264">
          <a:off x="6286500" y="7315200"/>
          <a:ext cx="542925" cy="200025"/>
        </a:xfrm>
        <a:prstGeom prst="ben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104775</xdr:colOff>
      <xdr:row>0</xdr:row>
      <xdr:rowOff>0</xdr:rowOff>
    </xdr:from>
    <xdr:to>
      <xdr:col>6</xdr:col>
      <xdr:colOff>85725</xdr:colOff>
      <xdr:row>0</xdr:row>
      <xdr:rowOff>0</xdr:rowOff>
    </xdr:to>
    <xdr:sp>
      <xdr:nvSpPr>
        <xdr:cNvPr id="6" name="TextBox 6"/>
        <xdr:cNvSpPr txBox="1">
          <a:spLocks noChangeArrowheads="1"/>
        </xdr:cNvSpPr>
      </xdr:nvSpPr>
      <xdr:spPr>
        <a:xfrm>
          <a:off x="2809875" y="0"/>
          <a:ext cx="3333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Valeur semblable au livre mais légèrement différente</a:t>
          </a:r>
        </a:p>
      </xdr:txBody>
    </xdr:sp>
    <xdr:clientData/>
  </xdr:twoCellAnchor>
  <xdr:twoCellAnchor>
    <xdr:from>
      <xdr:col>0</xdr:col>
      <xdr:colOff>561975</xdr:colOff>
      <xdr:row>2</xdr:row>
      <xdr:rowOff>19050</xdr:rowOff>
    </xdr:from>
    <xdr:to>
      <xdr:col>4</xdr:col>
      <xdr:colOff>200025</xdr:colOff>
      <xdr:row>13</xdr:row>
      <xdr:rowOff>142875</xdr:rowOff>
    </xdr:to>
    <xdr:sp>
      <xdr:nvSpPr>
        <xdr:cNvPr id="7" name="TextBox 7"/>
        <xdr:cNvSpPr txBox="1">
          <a:spLocks noChangeArrowheads="1"/>
        </xdr:cNvSpPr>
      </xdr:nvSpPr>
      <xdr:spPr>
        <a:xfrm>
          <a:off x="561975" y="361950"/>
          <a:ext cx="4019550" cy="190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Shareholding structure
     . Stable: 2-4-5
     . Unstable: 1-3
Managers
    . 1) Highly controlled
    . 2) Stable
    . 3) Only risk: Takeover bid
    . 4) Stable ( but risk of takeover bid could exist, depending on relationship with capital investor)
    . 5) Stable (risk of takeover bid not excluded)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219075</xdr:colOff>
      <xdr:row>95</xdr:row>
      <xdr:rowOff>0</xdr:rowOff>
    </xdr:from>
    <xdr:to>
      <xdr:col>7</xdr:col>
      <xdr:colOff>133350</xdr:colOff>
      <xdr:row>95</xdr:row>
      <xdr:rowOff>0</xdr:rowOff>
    </xdr:to>
    <xdr:sp>
      <xdr:nvSpPr>
        <xdr:cNvPr id="6" name="TextBox 6"/>
        <xdr:cNvSpPr txBox="1">
          <a:spLocks noChangeArrowheads="1"/>
        </xdr:cNvSpPr>
      </xdr:nvSpPr>
      <xdr:spPr>
        <a:xfrm>
          <a:off x="3495675" y="15420975"/>
          <a:ext cx="4105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FF0000"/>
              </a:solidFill>
              <a:latin typeface="Verdana"/>
              <a:ea typeface="Verdana"/>
              <a:cs typeface="Verdana"/>
            </a:rPr>
            <a:t>Note à PQ : dans le bouquin, il y a une erreur ; les corrections prennent des synergies de 5 dans la question d) alors que l'énoncé suppose des synergies de 10.</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4</xdr:col>
      <xdr:colOff>104775</xdr:colOff>
      <xdr:row>0</xdr:row>
      <xdr:rowOff>133350</xdr:rowOff>
    </xdr:from>
    <xdr:to>
      <xdr:col>8</xdr:col>
      <xdr:colOff>828675</xdr:colOff>
      <xdr:row>7</xdr:row>
      <xdr:rowOff>142875</xdr:rowOff>
    </xdr:to>
    <xdr:sp>
      <xdr:nvSpPr>
        <xdr:cNvPr id="6" name="AutoShape 29"/>
        <xdr:cNvSpPr>
          <a:spLocks/>
        </xdr:cNvSpPr>
      </xdr:nvSpPr>
      <xdr:spPr>
        <a:xfrm>
          <a:off x="4486275" y="133350"/>
          <a:ext cx="4143375" cy="1285875"/>
        </a:xfrm>
        <a:prstGeom prst="wedgeRectCallout">
          <a:avLst>
            <a:gd name="adj1" fmla="val -94393"/>
            <a:gd name="adj2" fmla="val 41111"/>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Verdana"/>
              <a:ea typeface="Verdana"/>
              <a:cs typeface="Verdana"/>
            </a:rPr>
            <a:t>In 3 months, I will have 1 USD to sell:
&gt; How much do I have to borrow to day in USD to have 1 USD to pay back in 3 months? (Cf B11)
&gt; the bank buys from me this amount of money against EUR, so there is a new amount of money in EUR (Cf B13)
&gt; lastly, I invest this amount of money in EUR, so 3 months later an amount of money x rate paid (Cf B15)
&gt; After 3 months, for 1 USD that I would be able to pay back, I would have 0,9803 EUR (Cf B17)
</a:t>
          </a:r>
        </a:p>
      </xdr:txBody>
    </xdr:sp>
    <xdr:clientData/>
  </xdr:twoCellAnchor>
  <xdr:twoCellAnchor>
    <xdr:from>
      <xdr:col>3</xdr:col>
      <xdr:colOff>561975</xdr:colOff>
      <xdr:row>7</xdr:row>
      <xdr:rowOff>371475</xdr:rowOff>
    </xdr:from>
    <xdr:to>
      <xdr:col>9</xdr:col>
      <xdr:colOff>9525</xdr:colOff>
      <xdr:row>13</xdr:row>
      <xdr:rowOff>76200</xdr:rowOff>
    </xdr:to>
    <xdr:sp>
      <xdr:nvSpPr>
        <xdr:cNvPr id="7" name="AutoShape 30"/>
        <xdr:cNvSpPr>
          <a:spLocks/>
        </xdr:cNvSpPr>
      </xdr:nvSpPr>
      <xdr:spPr>
        <a:xfrm>
          <a:off x="4105275" y="1647825"/>
          <a:ext cx="4543425" cy="1257300"/>
        </a:xfrm>
        <a:prstGeom prst="wedgeRectCallout">
          <a:avLst>
            <a:gd name="adj1" fmla="val -64046"/>
            <a:gd name="adj2" fmla="val -46967"/>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Verdana"/>
              <a:ea typeface="Verdana"/>
              <a:cs typeface="Verdana"/>
            </a:rPr>
            <a:t>In 3 months, I would need 1 USD to buy:
&gt; What amount of money do I have to invest today in USD to have 1 USD in 3 months? (Cf C11)
&gt; the bank buys from me this amount of money against EUR, so there is a new amount of money in EUR (Cf C13)
&gt; but in fact I do not have it; what amount of money I borrow do I have to pay back in 3 months (Cf C15)
&gt; After 3 months, for 1 USD that the bank will sell to me, I will pay 0,9819 EUR (Cf C17)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14</xdr:row>
      <xdr:rowOff>76200</xdr:rowOff>
    </xdr:from>
    <xdr:to>
      <xdr:col>4</xdr:col>
      <xdr:colOff>762000</xdr:colOff>
      <xdr:row>25</xdr:row>
      <xdr:rowOff>142875</xdr:rowOff>
    </xdr:to>
    <xdr:sp>
      <xdr:nvSpPr>
        <xdr:cNvPr id="1" name="TextBox 1"/>
        <xdr:cNvSpPr txBox="1">
          <a:spLocks noChangeArrowheads="1"/>
        </xdr:cNvSpPr>
      </xdr:nvSpPr>
      <xdr:spPr>
        <a:xfrm>
          <a:off x="723900" y="2362200"/>
          <a:ext cx="5067300" cy="184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Company S: Disastrous, lenders will only get back part of what they owed and shareholders lose everything. These are figures for Swissair in mid-2001, before it filed for bankruptcy in 2002.
Company N: Very good situation: operating profit covers net debt, shareholders' equity even after deducing 100% of intangible assets is still largely positive. These are the figures for Nestlé, one of the rare AAA coporate borrower
Company A: Weak situation: Equity seems very limited compared with debt and intangibles. These are the figures for Ahold, the Dutch supermarket group, after it discovered accounting frauds within several of its subsidiaries.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109</xdr:row>
      <xdr:rowOff>0</xdr:rowOff>
    </xdr:from>
    <xdr:to>
      <xdr:col>16</xdr:col>
      <xdr:colOff>152400</xdr:colOff>
      <xdr:row>124</xdr:row>
      <xdr:rowOff>123825</xdr:rowOff>
    </xdr:to>
    <xdr:graphicFrame>
      <xdr:nvGraphicFramePr>
        <xdr:cNvPr id="1" name="Chart 5"/>
        <xdr:cNvGraphicFramePr/>
      </xdr:nvGraphicFramePr>
      <xdr:xfrm>
        <a:off x="3476625" y="17954625"/>
        <a:ext cx="7305675" cy="2552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95250</xdr:rowOff>
    </xdr:from>
    <xdr:to>
      <xdr:col>0</xdr:col>
      <xdr:colOff>0</xdr:colOff>
      <xdr:row>34</xdr:row>
      <xdr:rowOff>57150</xdr:rowOff>
    </xdr:to>
    <xdr:sp>
      <xdr:nvSpPr>
        <xdr:cNvPr id="1" name="TextBox 1"/>
        <xdr:cNvSpPr txBox="1">
          <a:spLocks noChangeArrowheads="1"/>
        </xdr:cNvSpPr>
      </xdr:nvSpPr>
      <xdr:spPr>
        <a:xfrm>
          <a:off x="0" y="4867275"/>
          <a:ext cx="0"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44</xdr:row>
      <xdr:rowOff>38100</xdr:rowOff>
    </xdr:from>
    <xdr:to>
      <xdr:col>0</xdr:col>
      <xdr:colOff>0</xdr:colOff>
      <xdr:row>49</xdr:row>
      <xdr:rowOff>0</xdr:rowOff>
    </xdr:to>
    <xdr:sp>
      <xdr:nvSpPr>
        <xdr:cNvPr id="2" name="TextBox 2"/>
        <xdr:cNvSpPr txBox="1">
          <a:spLocks noChangeArrowheads="1"/>
        </xdr:cNvSpPr>
      </xdr:nvSpPr>
      <xdr:spPr>
        <a:xfrm>
          <a:off x="0" y="7419975"/>
          <a:ext cx="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371475</xdr:colOff>
      <xdr:row>49</xdr:row>
      <xdr:rowOff>123825</xdr:rowOff>
    </xdr:from>
    <xdr:to>
      <xdr:col>10</xdr:col>
      <xdr:colOff>609600</xdr:colOff>
      <xdr:row>59</xdr:row>
      <xdr:rowOff>85725</xdr:rowOff>
    </xdr:to>
    <xdr:graphicFrame>
      <xdr:nvGraphicFramePr>
        <xdr:cNvPr id="3" name="Chart 3"/>
        <xdr:cNvGraphicFramePr/>
      </xdr:nvGraphicFramePr>
      <xdr:xfrm>
        <a:off x="371475" y="8315325"/>
        <a:ext cx="9210675" cy="1581150"/>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83</xdr:row>
      <xdr:rowOff>152400</xdr:rowOff>
    </xdr:from>
    <xdr:to>
      <xdr:col>10</xdr:col>
      <xdr:colOff>428625</xdr:colOff>
      <xdr:row>93</xdr:row>
      <xdr:rowOff>28575</xdr:rowOff>
    </xdr:to>
    <xdr:graphicFrame>
      <xdr:nvGraphicFramePr>
        <xdr:cNvPr id="4" name="Chart 4"/>
        <xdr:cNvGraphicFramePr/>
      </xdr:nvGraphicFramePr>
      <xdr:xfrm>
        <a:off x="4867275" y="13906500"/>
        <a:ext cx="4533900" cy="1600200"/>
      </xdr:xfrm>
      <a:graphic>
        <a:graphicData uri="http://schemas.openxmlformats.org/drawingml/2006/chart">
          <c:chart xmlns:c="http://schemas.openxmlformats.org/drawingml/2006/chart" r:id="rId2"/>
        </a:graphicData>
      </a:graphic>
    </xdr:graphicFrame>
    <xdr:clientData/>
  </xdr:twoCellAnchor>
  <xdr:twoCellAnchor>
    <xdr:from>
      <xdr:col>5</xdr:col>
      <xdr:colOff>85725</xdr:colOff>
      <xdr:row>93</xdr:row>
      <xdr:rowOff>123825</xdr:rowOff>
    </xdr:from>
    <xdr:to>
      <xdr:col>10</xdr:col>
      <xdr:colOff>438150</xdr:colOff>
      <xdr:row>102</xdr:row>
      <xdr:rowOff>171450</xdr:rowOff>
    </xdr:to>
    <xdr:graphicFrame>
      <xdr:nvGraphicFramePr>
        <xdr:cNvPr id="5" name="Chart 5"/>
        <xdr:cNvGraphicFramePr/>
      </xdr:nvGraphicFramePr>
      <xdr:xfrm>
        <a:off x="4867275" y="15601950"/>
        <a:ext cx="4543425" cy="1609725"/>
      </xdr:xfrm>
      <a:graphic>
        <a:graphicData uri="http://schemas.openxmlformats.org/drawingml/2006/chart">
          <c:chart xmlns:c="http://schemas.openxmlformats.org/drawingml/2006/chart" r:id="rId3"/>
        </a:graphicData>
      </a:graphic>
    </xdr:graphicFrame>
    <xdr:clientData/>
  </xdr:twoCellAnchor>
  <xdr:twoCellAnchor>
    <xdr:from>
      <xdr:col>6</xdr:col>
      <xdr:colOff>85725</xdr:colOff>
      <xdr:row>107</xdr:row>
      <xdr:rowOff>123825</xdr:rowOff>
    </xdr:from>
    <xdr:to>
      <xdr:col>11</xdr:col>
      <xdr:colOff>447675</xdr:colOff>
      <xdr:row>118</xdr:row>
      <xdr:rowOff>0</xdr:rowOff>
    </xdr:to>
    <xdr:graphicFrame>
      <xdr:nvGraphicFramePr>
        <xdr:cNvPr id="6" name="Chart 6"/>
        <xdr:cNvGraphicFramePr/>
      </xdr:nvGraphicFramePr>
      <xdr:xfrm>
        <a:off x="5705475" y="17992725"/>
        <a:ext cx="4552950" cy="1895475"/>
      </xdr:xfrm>
      <a:graphic>
        <a:graphicData uri="http://schemas.openxmlformats.org/drawingml/2006/chart">
          <c:chart xmlns:c="http://schemas.openxmlformats.org/drawingml/2006/chart" r:id="rId4"/>
        </a:graphicData>
      </a:graphic>
    </xdr:graphicFrame>
    <xdr:clientData/>
  </xdr:twoCellAnchor>
  <xdr:twoCellAnchor>
    <xdr:from>
      <xdr:col>6</xdr:col>
      <xdr:colOff>95250</xdr:colOff>
      <xdr:row>122</xdr:row>
      <xdr:rowOff>76200</xdr:rowOff>
    </xdr:from>
    <xdr:to>
      <xdr:col>11</xdr:col>
      <xdr:colOff>466725</xdr:colOff>
      <xdr:row>132</xdr:row>
      <xdr:rowOff>123825</xdr:rowOff>
    </xdr:to>
    <xdr:graphicFrame>
      <xdr:nvGraphicFramePr>
        <xdr:cNvPr id="7" name="Chart 7"/>
        <xdr:cNvGraphicFramePr/>
      </xdr:nvGraphicFramePr>
      <xdr:xfrm>
        <a:off x="5715000" y="20612100"/>
        <a:ext cx="4562475" cy="190500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1190625</xdr:colOff>
      <xdr:row>87</xdr:row>
      <xdr:rowOff>57150</xdr:rowOff>
    </xdr:from>
    <xdr:to>
      <xdr:col>6</xdr:col>
      <xdr:colOff>485775</xdr:colOff>
      <xdr:row>98</xdr:row>
      <xdr:rowOff>133350</xdr:rowOff>
    </xdr:to>
    <xdr:graphicFrame>
      <xdr:nvGraphicFramePr>
        <xdr:cNvPr id="6" name="Chart 6"/>
        <xdr:cNvGraphicFramePr/>
      </xdr:nvGraphicFramePr>
      <xdr:xfrm>
        <a:off x="1190625" y="14706600"/>
        <a:ext cx="5495925" cy="1857375"/>
      </xdr:xfrm>
      <a:graphic>
        <a:graphicData uri="http://schemas.openxmlformats.org/drawingml/2006/chart">
          <c:chart xmlns:c="http://schemas.openxmlformats.org/drawingml/2006/chart" r:id="rId3"/>
        </a:graphicData>
      </a:graphic>
    </xdr:graphicFrame>
    <xdr:clientData/>
  </xdr:twoCellAnchor>
  <xdr:twoCellAnchor>
    <xdr:from>
      <xdr:col>0</xdr:col>
      <xdr:colOff>1000125</xdr:colOff>
      <xdr:row>165</xdr:row>
      <xdr:rowOff>66675</xdr:rowOff>
    </xdr:from>
    <xdr:to>
      <xdr:col>8</xdr:col>
      <xdr:colOff>819150</xdr:colOff>
      <xdr:row>177</xdr:row>
      <xdr:rowOff>76200</xdr:rowOff>
    </xdr:to>
    <xdr:graphicFrame>
      <xdr:nvGraphicFramePr>
        <xdr:cNvPr id="7" name="Chart 7"/>
        <xdr:cNvGraphicFramePr/>
      </xdr:nvGraphicFramePr>
      <xdr:xfrm>
        <a:off x="1000125" y="27546300"/>
        <a:ext cx="7791450" cy="1952625"/>
      </xdr:xfrm>
      <a:graphic>
        <a:graphicData uri="http://schemas.openxmlformats.org/drawingml/2006/chart">
          <c:chart xmlns:c="http://schemas.openxmlformats.org/drawingml/2006/chart" r:id="rId4"/>
        </a:graphicData>
      </a:graphic>
    </xdr:graphicFrame>
    <xdr:clientData/>
  </xdr:twoCellAnchor>
  <xdr:twoCellAnchor>
    <xdr:from>
      <xdr:col>0</xdr:col>
      <xdr:colOff>104775</xdr:colOff>
      <xdr:row>223</xdr:row>
      <xdr:rowOff>123825</xdr:rowOff>
    </xdr:from>
    <xdr:to>
      <xdr:col>8</xdr:col>
      <xdr:colOff>714375</xdr:colOff>
      <xdr:row>236</xdr:row>
      <xdr:rowOff>66675</xdr:rowOff>
    </xdr:to>
    <xdr:graphicFrame>
      <xdr:nvGraphicFramePr>
        <xdr:cNvPr id="8" name="Chart 8"/>
        <xdr:cNvGraphicFramePr/>
      </xdr:nvGraphicFramePr>
      <xdr:xfrm>
        <a:off x="104775" y="37823775"/>
        <a:ext cx="8582025" cy="2047875"/>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266</xdr:row>
      <xdr:rowOff>85725</xdr:rowOff>
    </xdr:from>
    <xdr:to>
      <xdr:col>6</xdr:col>
      <xdr:colOff>85725</xdr:colOff>
      <xdr:row>281</xdr:row>
      <xdr:rowOff>133350</xdr:rowOff>
    </xdr:to>
    <xdr:graphicFrame>
      <xdr:nvGraphicFramePr>
        <xdr:cNvPr id="9" name="Chart 9"/>
        <xdr:cNvGraphicFramePr/>
      </xdr:nvGraphicFramePr>
      <xdr:xfrm>
        <a:off x="104775" y="45577125"/>
        <a:ext cx="6181725" cy="2476500"/>
      </xdr:xfrm>
      <a:graphic>
        <a:graphicData uri="http://schemas.openxmlformats.org/drawingml/2006/chart">
          <c:chart xmlns:c="http://schemas.openxmlformats.org/drawingml/2006/chart" r:id="rId6"/>
        </a:graphicData>
      </a:graphic>
    </xdr:graphicFrame>
    <xdr:clientData/>
  </xdr:twoCellAnchor>
  <xdr:twoCellAnchor>
    <xdr:from>
      <xdr:col>0</xdr:col>
      <xdr:colOff>809625</xdr:colOff>
      <xdr:row>122</xdr:row>
      <xdr:rowOff>47625</xdr:rowOff>
    </xdr:from>
    <xdr:to>
      <xdr:col>5</xdr:col>
      <xdr:colOff>190500</xdr:colOff>
      <xdr:row>131</xdr:row>
      <xdr:rowOff>133350</xdr:rowOff>
    </xdr:to>
    <xdr:graphicFrame>
      <xdr:nvGraphicFramePr>
        <xdr:cNvPr id="10" name="Chart 10"/>
        <xdr:cNvGraphicFramePr/>
      </xdr:nvGraphicFramePr>
      <xdr:xfrm>
        <a:off x="809625" y="20383500"/>
        <a:ext cx="4695825" cy="1543050"/>
      </xdr:xfrm>
      <a:graphic>
        <a:graphicData uri="http://schemas.openxmlformats.org/drawingml/2006/chart">
          <c:chart xmlns:c="http://schemas.openxmlformats.org/drawingml/2006/chart" r:id="rId7"/>
        </a:graphicData>
      </a:graphic>
    </xdr:graphicFrame>
    <xdr:clientData/>
  </xdr:twoCellAnchor>
  <xdr:twoCellAnchor>
    <xdr:from>
      <xdr:col>2</xdr:col>
      <xdr:colOff>114300</xdr:colOff>
      <xdr:row>136</xdr:row>
      <xdr:rowOff>152400</xdr:rowOff>
    </xdr:from>
    <xdr:to>
      <xdr:col>5</xdr:col>
      <xdr:colOff>266700</xdr:colOff>
      <xdr:row>141</xdr:row>
      <xdr:rowOff>47625</xdr:rowOff>
    </xdr:to>
    <xdr:sp>
      <xdr:nvSpPr>
        <xdr:cNvPr id="11" name="TextBox 11"/>
        <xdr:cNvSpPr txBox="1">
          <a:spLocks noChangeArrowheads="1"/>
        </xdr:cNvSpPr>
      </xdr:nvSpPr>
      <xdr:spPr>
        <a:xfrm>
          <a:off x="2771775" y="22774275"/>
          <a:ext cx="2809875"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sng" baseline="0">
              <a:latin typeface="Verdana"/>
              <a:ea typeface="Verdana"/>
              <a:cs typeface="Verdana"/>
            </a:rPr>
            <a:t>Note:</a:t>
          </a:r>
          <a:r>
            <a:rPr lang="en-US" cap="none" sz="800" b="1" i="0" u="none" baseline="0">
              <a:latin typeface="Verdana"/>
              <a:ea typeface="Verdana"/>
              <a:cs typeface="Verdana"/>
            </a:rPr>
            <a:t> As the building of the parking facility lasted 1 year, the operating activity only started the second year. Thus, this annual income statement is considered as a reference for the following years of activity.</a:t>
          </a:r>
        </a:p>
      </xdr:txBody>
    </xdr:sp>
    <xdr:clientData/>
  </xdr:twoCellAnchor>
  <xdr:twoCellAnchor>
    <xdr:from>
      <xdr:col>2</xdr:col>
      <xdr:colOff>142875</xdr:colOff>
      <xdr:row>178</xdr:row>
      <xdr:rowOff>28575</xdr:rowOff>
    </xdr:from>
    <xdr:to>
      <xdr:col>5</xdr:col>
      <xdr:colOff>238125</xdr:colOff>
      <xdr:row>180</xdr:row>
      <xdr:rowOff>47625</xdr:rowOff>
    </xdr:to>
    <xdr:sp>
      <xdr:nvSpPr>
        <xdr:cNvPr id="12" name="TextBox 12"/>
        <xdr:cNvSpPr txBox="1">
          <a:spLocks noChangeArrowheads="1"/>
        </xdr:cNvSpPr>
      </xdr:nvSpPr>
      <xdr:spPr>
        <a:xfrm>
          <a:off x="2800350" y="29613225"/>
          <a:ext cx="27527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Verdana"/>
              <a:ea typeface="Verdana"/>
              <a:cs typeface="Verdana"/>
            </a:rPr>
            <a:t>If the cash flows are not discounted, the payback ratio is 6,3 years.</a:t>
          </a:r>
        </a:p>
      </xdr:txBody>
    </xdr:sp>
    <xdr:clientData/>
  </xdr:twoCellAnchor>
  <xdr:twoCellAnchor>
    <xdr:from>
      <xdr:col>0</xdr:col>
      <xdr:colOff>104775</xdr:colOff>
      <xdr:row>301</xdr:row>
      <xdr:rowOff>85725</xdr:rowOff>
    </xdr:from>
    <xdr:to>
      <xdr:col>6</xdr:col>
      <xdr:colOff>85725</xdr:colOff>
      <xdr:row>316</xdr:row>
      <xdr:rowOff>133350</xdr:rowOff>
    </xdr:to>
    <xdr:graphicFrame>
      <xdr:nvGraphicFramePr>
        <xdr:cNvPr id="13" name="Chart 13"/>
        <xdr:cNvGraphicFramePr/>
      </xdr:nvGraphicFramePr>
      <xdr:xfrm>
        <a:off x="104775" y="52054125"/>
        <a:ext cx="6181725" cy="2476500"/>
      </xdr:xfrm>
      <a:graphic>
        <a:graphicData uri="http://schemas.openxmlformats.org/drawingml/2006/chart">
          <c:chart xmlns:c="http://schemas.openxmlformats.org/drawingml/2006/chart" r:id="rId8"/>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95250</xdr:colOff>
      <xdr:row>6</xdr:row>
      <xdr:rowOff>0</xdr:rowOff>
    </xdr:from>
    <xdr:to>
      <xdr:col>5</xdr:col>
      <xdr:colOff>600075</xdr:colOff>
      <xdr:row>6</xdr:row>
      <xdr:rowOff>0</xdr:rowOff>
    </xdr:to>
    <xdr:sp>
      <xdr:nvSpPr>
        <xdr:cNvPr id="6" name="TextBox 6"/>
        <xdr:cNvSpPr txBox="1">
          <a:spLocks noChangeArrowheads="1"/>
        </xdr:cNvSpPr>
      </xdr:nvSpPr>
      <xdr:spPr>
        <a:xfrm>
          <a:off x="3829050" y="1009650"/>
          <a:ext cx="3019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livre indique un résultat de 15,6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95250</xdr:rowOff>
    </xdr:from>
    <xdr:to>
      <xdr:col>0</xdr:col>
      <xdr:colOff>0</xdr:colOff>
      <xdr:row>61</xdr:row>
      <xdr:rowOff>57150</xdr:rowOff>
    </xdr:to>
    <xdr:sp>
      <xdr:nvSpPr>
        <xdr:cNvPr id="1" name="TextBox 1"/>
        <xdr:cNvSpPr txBox="1">
          <a:spLocks noChangeArrowheads="1"/>
        </xdr:cNvSpPr>
      </xdr:nvSpPr>
      <xdr:spPr>
        <a:xfrm>
          <a:off x="0" y="10029825"/>
          <a:ext cx="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70</xdr:row>
      <xdr:rowOff>38100</xdr:rowOff>
    </xdr:from>
    <xdr:to>
      <xdr:col>0</xdr:col>
      <xdr:colOff>0</xdr:colOff>
      <xdr:row>74</xdr:row>
      <xdr:rowOff>0</xdr:rowOff>
    </xdr:to>
    <xdr:sp>
      <xdr:nvSpPr>
        <xdr:cNvPr id="2" name="TextBox 2"/>
        <xdr:cNvSpPr txBox="1">
          <a:spLocks noChangeArrowheads="1"/>
        </xdr:cNvSpPr>
      </xdr:nvSpPr>
      <xdr:spPr>
        <a:xfrm>
          <a:off x="0" y="12077700"/>
          <a:ext cx="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2</xdr:col>
      <xdr:colOff>28575</xdr:colOff>
      <xdr:row>55</xdr:row>
      <xdr:rowOff>19050</xdr:rowOff>
    </xdr:from>
    <xdr:to>
      <xdr:col>8</xdr:col>
      <xdr:colOff>266700</xdr:colOff>
      <xdr:row>70</xdr:row>
      <xdr:rowOff>19050</xdr:rowOff>
    </xdr:to>
    <xdr:graphicFrame>
      <xdr:nvGraphicFramePr>
        <xdr:cNvPr id="3" name="Chart 4"/>
        <xdr:cNvGraphicFramePr/>
      </xdr:nvGraphicFramePr>
      <xdr:xfrm>
        <a:off x="2152650" y="9629775"/>
        <a:ext cx="5267325" cy="2428875"/>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83</xdr:row>
      <xdr:rowOff>104775</xdr:rowOff>
    </xdr:from>
    <xdr:to>
      <xdr:col>8</xdr:col>
      <xdr:colOff>409575</xdr:colOff>
      <xdr:row>99</xdr:row>
      <xdr:rowOff>133350</xdr:rowOff>
    </xdr:to>
    <xdr:graphicFrame>
      <xdr:nvGraphicFramePr>
        <xdr:cNvPr id="4" name="Chart 5"/>
        <xdr:cNvGraphicFramePr/>
      </xdr:nvGraphicFramePr>
      <xdr:xfrm>
        <a:off x="2314575" y="14268450"/>
        <a:ext cx="5248275" cy="2619375"/>
      </xdr:xfrm>
      <a:graphic>
        <a:graphicData uri="http://schemas.openxmlformats.org/drawingml/2006/chart">
          <c:chart xmlns:c="http://schemas.openxmlformats.org/drawingml/2006/chart" r:id="rId2"/>
        </a:graphicData>
      </a:graphic>
    </xdr:graphicFrame>
    <xdr:clientData/>
  </xdr:twoCellAnchor>
  <xdr:oneCellAnchor>
    <xdr:from>
      <xdr:col>4</xdr:col>
      <xdr:colOff>800100</xdr:colOff>
      <xdr:row>91</xdr:row>
      <xdr:rowOff>28575</xdr:rowOff>
    </xdr:from>
    <xdr:ext cx="219075" cy="209550"/>
    <xdr:sp>
      <xdr:nvSpPr>
        <xdr:cNvPr id="5" name="TextBox 14"/>
        <xdr:cNvSpPr txBox="1">
          <a:spLocks noChangeArrowheads="1"/>
        </xdr:cNvSpPr>
      </xdr:nvSpPr>
      <xdr:spPr>
        <a:xfrm>
          <a:off x="4600575" y="15487650"/>
          <a:ext cx="219075" cy="209550"/>
        </a:xfrm>
        <a:prstGeom prst="rect">
          <a:avLst/>
        </a:prstGeom>
        <a:noFill/>
        <a:ln w="9525" cmpd="sng">
          <a:noFill/>
        </a:ln>
      </xdr:spPr>
      <xdr:txBody>
        <a:bodyPr vertOverflow="clip" wrap="square">
          <a:spAutoFit/>
        </a:bodyPr>
        <a:p>
          <a:pPr algn="l">
            <a:defRPr/>
          </a:pPr>
          <a:r>
            <a:rPr lang="en-US" cap="none" sz="1000" b="0" i="0" u="none" baseline="0">
              <a:latin typeface="Verdana"/>
              <a:ea typeface="Verdana"/>
              <a:cs typeface="Verdana"/>
            </a:rPr>
            <a:t>E*</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es%20documents\Vernimmen\Nouveau%20Corrig&#233;%20Vernimmen%20-%202005%20v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es%20documents\Vernimmen\Exercices%20non%20pr&#233;sents%20ds%20la%20version%20anglais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Mes%20documents\Vernimmen\Corrig&#233;s%20Vernimmen%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pitre 2"/>
      <sheetName val=" Chapitre 3"/>
      <sheetName val="Chapitre 4"/>
      <sheetName val="Chapitre 5"/>
      <sheetName val=" Chapitre 6"/>
      <sheetName val="Chapitre 8"/>
      <sheetName val="Chapitre 10"/>
      <sheetName val="Chapitre 11"/>
      <sheetName val="Chapitre 12"/>
      <sheetName val=" Chapitre 13"/>
      <sheetName val="Chapitre 14"/>
      <sheetName val="Chapitre 15"/>
      <sheetName val="Chapitre 16"/>
      <sheetName val=" Chapitre 17"/>
      <sheetName val=" Chapitre 20"/>
      <sheetName val="Chapitre 21"/>
      <sheetName val="Chapitre 22"/>
      <sheetName val="Chapitre 23"/>
      <sheetName val="Chapitre 24"/>
      <sheetName val="Chapitre 25"/>
      <sheetName val="Chapitre 26"/>
      <sheetName val="Chapitre 27"/>
      <sheetName val="Chapitre 28"/>
      <sheetName val="Chapitre 29"/>
      <sheetName val="Chapitre 30"/>
      <sheetName val=" Chapitre 31"/>
      <sheetName val=" Chapitre 32"/>
      <sheetName val="Chapitre 33 "/>
      <sheetName val="Chapitre 34"/>
      <sheetName val=" Chapitre 35"/>
      <sheetName val="Chapitre 36"/>
      <sheetName val="Chapitre 37 "/>
      <sheetName val="Chapitre 38"/>
      <sheetName val=" Chapitre 39 "/>
      <sheetName val="Chapitre 40 "/>
      <sheetName val="Chapitre 41"/>
      <sheetName val="Chapitre 42"/>
      <sheetName val=" Chapitre 43"/>
      <sheetName val="Chapitre 44"/>
      <sheetName val="Chapitre 45 "/>
      <sheetName val="Chapitre 48"/>
      <sheetName val="Chapitre 50"/>
      <sheetName val=" Chapitre 53"/>
      <sheetName val="Memo"/>
    </sheetNames>
    <sheetDataSet>
      <sheetData sheetId="15">
        <row r="7">
          <cell r="B7" t="str">
            <v>VAN</v>
          </cell>
        </row>
        <row r="8">
          <cell r="A8">
            <v>0.05</v>
          </cell>
          <cell r="B8">
            <v>401.8430011892458</v>
          </cell>
        </row>
        <row r="9">
          <cell r="A9">
            <v>0.1</v>
          </cell>
          <cell r="B9">
            <v>240.2360308225343</v>
          </cell>
        </row>
        <row r="10">
          <cell r="A10">
            <v>0.15</v>
          </cell>
          <cell r="B10">
            <v>108.6465294034208</v>
          </cell>
        </row>
        <row r="11">
          <cell r="A11">
            <v>0.2</v>
          </cell>
          <cell r="B11">
            <v>0.18364197530866022</v>
          </cell>
        </row>
        <row r="12">
          <cell r="A12">
            <v>0.25</v>
          </cell>
          <cell r="B12">
            <v>-90.21600000000001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pitre 25"/>
      <sheetName val="Chapitre 30"/>
      <sheetName val="Chapitre 31 "/>
      <sheetName val="Chapitre 40 "/>
      <sheetName val="Chapitre 46 "/>
      <sheetName val="exo 2000"/>
      <sheetName val="Feuil1"/>
      <sheetName val="Memo"/>
      <sheetName val="A retrouver"/>
      <sheetName val="A retrouver 3"/>
      <sheetName val="A retrouver 4"/>
      <sheetName val="A retrouver 5"/>
      <sheetName val="Non"/>
      <sheetName val="A retrouver 2"/>
      <sheetName val="Feuil2"/>
      <sheetName val="Feuil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pitre 2"/>
      <sheetName val=" Chapitre 3"/>
      <sheetName val="Chapitre 4"/>
      <sheetName val="Chapitre 5"/>
      <sheetName val=" Chapitre 6"/>
      <sheetName val="Chapitre 8"/>
      <sheetName val="Chapitre 10"/>
      <sheetName val="Chapitre 11"/>
      <sheetName val=" Chapitre 12"/>
      <sheetName val="Chapitre 13"/>
      <sheetName val="Chapitre 14"/>
      <sheetName val="Chapitre 15"/>
      <sheetName val=" Chapitre 16"/>
      <sheetName val="#... Chapitre 17 à compléter"/>
      <sheetName val="Chapitre 18"/>
      <sheetName val="# Chapitre 19 à compléter"/>
      <sheetName val=" Chapitre 20"/>
      <sheetName val=" Chapitre 23"/>
      <sheetName val="Chapitre 24"/>
      <sheetName val="Chapitre 25"/>
      <sheetName val="Chapitre 26"/>
      <sheetName val="Chapitre 27"/>
      <sheetName val="Chapitre 28"/>
      <sheetName val="Chapitre 29"/>
      <sheetName val="Chapitre 30"/>
      <sheetName val="Chapitre 31 "/>
      <sheetName val="Chapitre 32 "/>
      <sheetName val="Chapitre 33"/>
      <sheetName val=" Chapitre 34 "/>
      <sheetName val=" Chapitre 35 "/>
      <sheetName val="Chapitre 36 "/>
      <sheetName val="Chapitre 37 "/>
      <sheetName val=" Chapitre 38 "/>
      <sheetName val="Chapitre 39 "/>
      <sheetName val="Chapitre 40 "/>
      <sheetName val=" Chapitre 41 "/>
      <sheetName val="Chapitre 42 "/>
      <sheetName val="Chapitre 43"/>
      <sheetName val="Chapitre 44"/>
      <sheetName val=" Chapitre 45"/>
      <sheetName val="Chapitre 46 "/>
      <sheetName val="Chapitre 47 "/>
      <sheetName val="Chapitre 48 "/>
      <sheetName val="Chapitre 49 "/>
      <sheetName val="Chapitre 51"/>
      <sheetName val="Chapitre 54 "/>
      <sheetName val=" Chapitre 57"/>
      <sheetName val="exo 2000"/>
      <sheetName val="Memo"/>
    </sheetNames>
    <sheetDataSet>
      <sheetData sheetId="0">
        <row r="37">
          <cell r="C37">
            <v>-16</v>
          </cell>
          <cell r="D37">
            <v>4</v>
          </cell>
          <cell r="E37">
            <v>4</v>
          </cell>
        </row>
        <row r="39">
          <cell r="E39">
            <v>18.9</v>
          </cell>
        </row>
      </sheetData>
      <sheetData sheetId="1">
        <row r="75">
          <cell r="D75">
            <v>6</v>
          </cell>
        </row>
        <row r="80">
          <cell r="D80">
            <v>16.9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1.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2.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3.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Z39"/>
  <sheetViews>
    <sheetView showGridLines="0" tabSelected="1" zoomScale="75" zoomScaleNormal="75" workbookViewId="0" topLeftCell="A1">
      <selection activeCell="A1" sqref="A1"/>
    </sheetView>
  </sheetViews>
  <sheetFormatPr defaultColWidth="11.00390625" defaultRowHeight="12.75"/>
  <cols>
    <col min="1" max="1" width="37.50390625" style="3" customWidth="1"/>
    <col min="2" max="9" width="11.125" style="0" bestFit="1" customWidth="1"/>
    <col min="10" max="10" width="12.375" style="0" bestFit="1" customWidth="1"/>
    <col min="11" max="11" width="11.125" style="0" bestFit="1" customWidth="1"/>
    <col min="12" max="13" width="11.75390625" style="0" bestFit="1" customWidth="1"/>
    <col min="14" max="21" width="11.125" style="0" bestFit="1" customWidth="1"/>
    <col min="22" max="22" width="12.375" style="0" bestFit="1" customWidth="1"/>
    <col min="23" max="23" width="11.125" style="0" bestFit="1" customWidth="1"/>
    <col min="24" max="25" width="11.75390625" style="0" bestFit="1" customWidth="1"/>
    <col min="26" max="33" width="11.125" style="0" bestFit="1" customWidth="1"/>
    <col min="34" max="34" width="12.375" style="0" bestFit="1" customWidth="1"/>
    <col min="35" max="35" width="11.125" style="0" bestFit="1" customWidth="1"/>
    <col min="36" max="37" width="11.75390625" style="0" bestFit="1" customWidth="1"/>
    <col min="38" max="45" width="11.125" style="0" bestFit="1" customWidth="1"/>
    <col min="46" max="46" width="12.375" style="0" bestFit="1" customWidth="1"/>
    <col min="47" max="47" width="11.125" style="0" bestFit="1" customWidth="1"/>
    <col min="48" max="49" width="11.75390625" style="0" bestFit="1" customWidth="1"/>
    <col min="50" max="57" width="11.125" style="0" bestFit="1" customWidth="1"/>
    <col min="58" max="58" width="12.375" style="0" bestFit="1" customWidth="1"/>
    <col min="59" max="59" width="11.125" style="0" bestFit="1" customWidth="1"/>
    <col min="60" max="61" width="11.75390625" style="0" bestFit="1" customWidth="1"/>
    <col min="62" max="69" width="11.125" style="0" bestFit="1" customWidth="1"/>
    <col min="70" max="70" width="12.375" style="0" bestFit="1" customWidth="1"/>
    <col min="71" max="71" width="11.125" style="0" bestFit="1" customWidth="1"/>
    <col min="72" max="73" width="11.75390625" style="0" bestFit="1" customWidth="1"/>
    <col min="74" max="76" width="11.125" style="0" bestFit="1" customWidth="1"/>
  </cols>
  <sheetData>
    <row r="1" ht="14.25">
      <c r="A1" s="41" t="s">
        <v>19</v>
      </c>
    </row>
    <row r="2" spans="1:7" ht="12.75">
      <c r="A2" s="2" t="s">
        <v>20</v>
      </c>
      <c r="B2" s="4">
        <v>0</v>
      </c>
      <c r="C2" s="4">
        <v>1</v>
      </c>
      <c r="D2" s="4">
        <v>2</v>
      </c>
      <c r="E2" s="4">
        <v>3</v>
      </c>
      <c r="F2" s="4">
        <v>4</v>
      </c>
      <c r="G2" s="4">
        <v>5</v>
      </c>
    </row>
    <row r="3" spans="1:7" ht="12.75">
      <c r="A3" s="3" t="s">
        <v>21</v>
      </c>
      <c r="B3">
        <v>165</v>
      </c>
      <c r="C3">
        <v>200</v>
      </c>
      <c r="D3">
        <v>240</v>
      </c>
      <c r="E3">
        <v>280</v>
      </c>
      <c r="F3">
        <v>320</v>
      </c>
      <c r="G3">
        <v>360</v>
      </c>
    </row>
    <row r="4" spans="1:7" ht="12.75">
      <c r="A4" s="3" t="s">
        <v>22</v>
      </c>
      <c r="B4">
        <v>165</v>
      </c>
      <c r="C4">
        <v>175</v>
      </c>
      <c r="D4">
        <v>180</v>
      </c>
      <c r="E4">
        <v>185</v>
      </c>
      <c r="F4">
        <v>180</v>
      </c>
      <c r="G4">
        <v>190</v>
      </c>
    </row>
    <row r="5" spans="1:7" ht="12.75">
      <c r="A5" s="2" t="s">
        <v>23</v>
      </c>
      <c r="B5">
        <f aca="true" t="shared" si="0" ref="B5:G5">B3-B4</f>
        <v>0</v>
      </c>
      <c r="C5">
        <f t="shared" si="0"/>
        <v>25</v>
      </c>
      <c r="D5">
        <f t="shared" si="0"/>
        <v>60</v>
      </c>
      <c r="E5">
        <f t="shared" si="0"/>
        <v>95</v>
      </c>
      <c r="F5">
        <f t="shared" si="0"/>
        <v>140</v>
      </c>
      <c r="G5">
        <f t="shared" si="0"/>
        <v>170</v>
      </c>
    </row>
    <row r="6" spans="1:2" ht="12.75">
      <c r="A6" s="3" t="s">
        <v>24</v>
      </c>
      <c r="B6">
        <v>-200</v>
      </c>
    </row>
    <row r="7" spans="1:7" ht="12.75">
      <c r="A7" s="2" t="s">
        <v>25</v>
      </c>
      <c r="B7">
        <f>B5+B6</f>
        <v>-200</v>
      </c>
      <c r="C7">
        <f>C5-C6</f>
        <v>25</v>
      </c>
      <c r="D7">
        <f>D5-D6</f>
        <v>60</v>
      </c>
      <c r="E7">
        <f>E5-E6</f>
        <v>95</v>
      </c>
      <c r="F7">
        <f>F5-F6</f>
        <v>140</v>
      </c>
      <c r="G7">
        <f>G5-G6</f>
        <v>170</v>
      </c>
    </row>
    <row r="8" spans="1:8" ht="12.75">
      <c r="A8" s="3" t="s">
        <v>26</v>
      </c>
      <c r="B8">
        <f>B6/2</f>
        <v>-100</v>
      </c>
      <c r="C8">
        <f>-$B8*0.05</f>
        <v>5</v>
      </c>
      <c r="D8">
        <f>-$B8*0.05</f>
        <v>5</v>
      </c>
      <c r="E8">
        <f>-$B8*0.05</f>
        <v>5</v>
      </c>
      <c r="F8">
        <f>-$B8*0.05</f>
        <v>5</v>
      </c>
      <c r="G8">
        <f>-$B8*0.05-B8</f>
        <v>105</v>
      </c>
      <c r="H8" s="1">
        <f>SUM(B8:G8)</f>
        <v>25</v>
      </c>
    </row>
    <row r="9" spans="1:8" ht="12.75">
      <c r="A9" s="3" t="s">
        <v>27</v>
      </c>
      <c r="B9">
        <f>B6/2</f>
        <v>-100</v>
      </c>
      <c r="C9">
        <f>C7-C8</f>
        <v>20</v>
      </c>
      <c r="D9">
        <f>D7-D8</f>
        <v>55</v>
      </c>
      <c r="E9">
        <f>E7-E8</f>
        <v>90</v>
      </c>
      <c r="F9">
        <f>F7-F8</f>
        <v>135</v>
      </c>
      <c r="G9">
        <f>G7-G8</f>
        <v>65</v>
      </c>
      <c r="H9" s="1">
        <f>SUM(B9:G9)</f>
        <v>265</v>
      </c>
    </row>
    <row r="11" ht="14.25">
      <c r="A11" s="41" t="s">
        <v>179</v>
      </c>
    </row>
    <row r="12" spans="1:78" ht="12.75">
      <c r="A12" s="15" t="s">
        <v>28</v>
      </c>
      <c r="C12" s="16">
        <f>YEAR(C13)-1999</f>
        <v>1</v>
      </c>
      <c r="D12" s="16">
        <f aca="true" t="shared" si="1" ref="D12:BO12">YEAR(D13)-1999</f>
        <v>1</v>
      </c>
      <c r="E12" s="16">
        <f t="shared" si="1"/>
        <v>1</v>
      </c>
      <c r="F12" s="16">
        <f t="shared" si="1"/>
        <v>1</v>
      </c>
      <c r="G12" s="16">
        <f t="shared" si="1"/>
        <v>1</v>
      </c>
      <c r="H12" s="16">
        <f t="shared" si="1"/>
        <v>1</v>
      </c>
      <c r="I12" s="16">
        <f t="shared" si="1"/>
        <v>1</v>
      </c>
      <c r="J12" s="16">
        <f t="shared" si="1"/>
        <v>1</v>
      </c>
      <c r="K12" s="16">
        <f t="shared" si="1"/>
        <v>1</v>
      </c>
      <c r="L12" s="16">
        <f t="shared" si="1"/>
        <v>1</v>
      </c>
      <c r="M12" s="16">
        <f t="shared" si="1"/>
        <v>1</v>
      </c>
      <c r="N12" s="16">
        <f t="shared" si="1"/>
        <v>1</v>
      </c>
      <c r="O12" s="16">
        <f t="shared" si="1"/>
        <v>2</v>
      </c>
      <c r="P12" s="16">
        <f t="shared" si="1"/>
        <v>2</v>
      </c>
      <c r="Q12" s="16">
        <f t="shared" si="1"/>
        <v>2</v>
      </c>
      <c r="R12" s="16">
        <f t="shared" si="1"/>
        <v>2</v>
      </c>
      <c r="S12" s="16">
        <f t="shared" si="1"/>
        <v>2</v>
      </c>
      <c r="T12" s="16">
        <f t="shared" si="1"/>
        <v>2</v>
      </c>
      <c r="U12" s="16">
        <f t="shared" si="1"/>
        <v>2</v>
      </c>
      <c r="V12" s="16">
        <f t="shared" si="1"/>
        <v>2</v>
      </c>
      <c r="W12" s="16">
        <f t="shared" si="1"/>
        <v>2</v>
      </c>
      <c r="X12" s="16">
        <f t="shared" si="1"/>
        <v>2</v>
      </c>
      <c r="Y12" s="16">
        <f t="shared" si="1"/>
        <v>2</v>
      </c>
      <c r="Z12" s="16">
        <f t="shared" si="1"/>
        <v>2</v>
      </c>
      <c r="AA12" s="16">
        <f t="shared" si="1"/>
        <v>3</v>
      </c>
      <c r="AB12" s="16">
        <f t="shared" si="1"/>
        <v>3</v>
      </c>
      <c r="AC12" s="16">
        <f t="shared" si="1"/>
        <v>3</v>
      </c>
      <c r="AD12" s="16">
        <f t="shared" si="1"/>
        <v>3</v>
      </c>
      <c r="AE12" s="16">
        <f t="shared" si="1"/>
        <v>3</v>
      </c>
      <c r="AF12" s="16">
        <f t="shared" si="1"/>
        <v>3</v>
      </c>
      <c r="AG12" s="16">
        <f t="shared" si="1"/>
        <v>3</v>
      </c>
      <c r="AH12" s="16">
        <f t="shared" si="1"/>
        <v>3</v>
      </c>
      <c r="AI12" s="16">
        <f t="shared" si="1"/>
        <v>3</v>
      </c>
      <c r="AJ12" s="16">
        <f t="shared" si="1"/>
        <v>3</v>
      </c>
      <c r="AK12" s="16">
        <f t="shared" si="1"/>
        <v>3</v>
      </c>
      <c r="AL12" s="16">
        <f t="shared" si="1"/>
        <v>3</v>
      </c>
      <c r="AM12" s="16">
        <f t="shared" si="1"/>
        <v>4</v>
      </c>
      <c r="AN12" s="16">
        <f t="shared" si="1"/>
        <v>4</v>
      </c>
      <c r="AO12" s="16">
        <f t="shared" si="1"/>
        <v>4</v>
      </c>
      <c r="AP12" s="16">
        <f t="shared" si="1"/>
        <v>4</v>
      </c>
      <c r="AQ12" s="16">
        <f t="shared" si="1"/>
        <v>4</v>
      </c>
      <c r="AR12" s="16">
        <f t="shared" si="1"/>
        <v>4</v>
      </c>
      <c r="AS12" s="16">
        <f t="shared" si="1"/>
        <v>4</v>
      </c>
      <c r="AT12" s="16">
        <f t="shared" si="1"/>
        <v>4</v>
      </c>
      <c r="AU12" s="16">
        <f t="shared" si="1"/>
        <v>4</v>
      </c>
      <c r="AV12" s="16">
        <f t="shared" si="1"/>
        <v>4</v>
      </c>
      <c r="AW12" s="16">
        <f t="shared" si="1"/>
        <v>4</v>
      </c>
      <c r="AX12" s="16">
        <f t="shared" si="1"/>
        <v>4</v>
      </c>
      <c r="AY12" s="16">
        <f t="shared" si="1"/>
        <v>5</v>
      </c>
      <c r="AZ12" s="16">
        <f t="shared" si="1"/>
        <v>5</v>
      </c>
      <c r="BA12" s="16">
        <f t="shared" si="1"/>
        <v>5</v>
      </c>
      <c r="BB12" s="16">
        <f t="shared" si="1"/>
        <v>5</v>
      </c>
      <c r="BC12" s="16">
        <f t="shared" si="1"/>
        <v>5</v>
      </c>
      <c r="BD12" s="16">
        <f t="shared" si="1"/>
        <v>5</v>
      </c>
      <c r="BE12" s="16">
        <f t="shared" si="1"/>
        <v>5</v>
      </c>
      <c r="BF12" s="16">
        <f t="shared" si="1"/>
        <v>5</v>
      </c>
      <c r="BG12" s="16">
        <f t="shared" si="1"/>
        <v>5</v>
      </c>
      <c r="BH12" s="16">
        <f t="shared" si="1"/>
        <v>5</v>
      </c>
      <c r="BI12" s="16">
        <f t="shared" si="1"/>
        <v>5</v>
      </c>
      <c r="BJ12" s="16">
        <f t="shared" si="1"/>
        <v>5</v>
      </c>
      <c r="BK12" s="16">
        <f t="shared" si="1"/>
        <v>6</v>
      </c>
      <c r="BL12" s="16">
        <f t="shared" si="1"/>
        <v>6</v>
      </c>
      <c r="BM12" s="16">
        <f t="shared" si="1"/>
        <v>6</v>
      </c>
      <c r="BN12" s="16">
        <f t="shared" si="1"/>
        <v>6</v>
      </c>
      <c r="BO12" s="16">
        <f t="shared" si="1"/>
        <v>6</v>
      </c>
      <c r="BP12" s="16">
        <f aca="true" t="shared" si="2" ref="BP12:BZ12">YEAR(BP13)-1999</f>
        <v>6</v>
      </c>
      <c r="BQ12" s="16">
        <f t="shared" si="2"/>
        <v>6</v>
      </c>
      <c r="BR12" s="16">
        <f t="shared" si="2"/>
        <v>6</v>
      </c>
      <c r="BS12" s="16">
        <f t="shared" si="2"/>
        <v>6</v>
      </c>
      <c r="BT12" s="16">
        <f t="shared" si="2"/>
        <v>6</v>
      </c>
      <c r="BU12" s="16">
        <f t="shared" si="2"/>
        <v>6</v>
      </c>
      <c r="BV12" s="16">
        <f t="shared" si="2"/>
        <v>6</v>
      </c>
      <c r="BW12" s="16">
        <f t="shared" si="2"/>
        <v>7</v>
      </c>
      <c r="BX12" s="16">
        <f t="shared" si="2"/>
        <v>7</v>
      </c>
      <c r="BY12" s="16">
        <f t="shared" si="2"/>
        <v>7</v>
      </c>
      <c r="BZ12" s="16">
        <f t="shared" si="2"/>
        <v>7</v>
      </c>
    </row>
    <row r="13" spans="1:78" ht="12.75">
      <c r="A13" s="2" t="s">
        <v>20</v>
      </c>
      <c r="B13" s="2" t="s">
        <v>1095</v>
      </c>
      <c r="C13" s="5">
        <v>36526</v>
      </c>
      <c r="D13" s="5">
        <f aca="true" t="shared" si="3" ref="D13:BO13">DATE(2000,COLUMN(C11)-1,1)</f>
        <v>36557</v>
      </c>
      <c r="E13" s="5">
        <f t="shared" si="3"/>
        <v>36586</v>
      </c>
      <c r="F13" s="5">
        <f t="shared" si="3"/>
        <v>36617</v>
      </c>
      <c r="G13" s="5">
        <f t="shared" si="3"/>
        <v>36647</v>
      </c>
      <c r="H13" s="5">
        <f t="shared" si="3"/>
        <v>36678</v>
      </c>
      <c r="I13" s="5">
        <f t="shared" si="3"/>
        <v>36708</v>
      </c>
      <c r="J13" s="5">
        <f t="shared" si="3"/>
        <v>36739</v>
      </c>
      <c r="K13" s="5">
        <f t="shared" si="3"/>
        <v>36770</v>
      </c>
      <c r="L13" s="5">
        <f t="shared" si="3"/>
        <v>36800</v>
      </c>
      <c r="M13" s="5">
        <f t="shared" si="3"/>
        <v>36831</v>
      </c>
      <c r="N13" s="5">
        <f t="shared" si="3"/>
        <v>36861</v>
      </c>
      <c r="O13" s="5">
        <f t="shared" si="3"/>
        <v>36892</v>
      </c>
      <c r="P13" s="5">
        <f t="shared" si="3"/>
        <v>36923</v>
      </c>
      <c r="Q13" s="5">
        <f t="shared" si="3"/>
        <v>36951</v>
      </c>
      <c r="R13" s="5">
        <f t="shared" si="3"/>
        <v>36982</v>
      </c>
      <c r="S13" s="5">
        <f t="shared" si="3"/>
        <v>37012</v>
      </c>
      <c r="T13" s="5">
        <f t="shared" si="3"/>
        <v>37043</v>
      </c>
      <c r="U13" s="5">
        <f t="shared" si="3"/>
        <v>37073</v>
      </c>
      <c r="V13" s="5">
        <f t="shared" si="3"/>
        <v>37104</v>
      </c>
      <c r="W13" s="5">
        <f t="shared" si="3"/>
        <v>37135</v>
      </c>
      <c r="X13" s="5">
        <f t="shared" si="3"/>
        <v>37165</v>
      </c>
      <c r="Y13" s="5">
        <f t="shared" si="3"/>
        <v>37196</v>
      </c>
      <c r="Z13" s="5">
        <f t="shared" si="3"/>
        <v>37226</v>
      </c>
      <c r="AA13" s="5">
        <f t="shared" si="3"/>
        <v>37257</v>
      </c>
      <c r="AB13" s="5">
        <f t="shared" si="3"/>
        <v>37288</v>
      </c>
      <c r="AC13" s="5">
        <f t="shared" si="3"/>
        <v>37316</v>
      </c>
      <c r="AD13" s="5">
        <f t="shared" si="3"/>
        <v>37347</v>
      </c>
      <c r="AE13" s="5">
        <f t="shared" si="3"/>
        <v>37377</v>
      </c>
      <c r="AF13" s="5">
        <f t="shared" si="3"/>
        <v>37408</v>
      </c>
      <c r="AG13" s="5">
        <f t="shared" si="3"/>
        <v>37438</v>
      </c>
      <c r="AH13" s="5">
        <f t="shared" si="3"/>
        <v>37469</v>
      </c>
      <c r="AI13" s="5">
        <f t="shared" si="3"/>
        <v>37500</v>
      </c>
      <c r="AJ13" s="5">
        <f t="shared" si="3"/>
        <v>37530</v>
      </c>
      <c r="AK13" s="5">
        <f t="shared" si="3"/>
        <v>37561</v>
      </c>
      <c r="AL13" s="5">
        <f t="shared" si="3"/>
        <v>37591</v>
      </c>
      <c r="AM13" s="5">
        <f t="shared" si="3"/>
        <v>37622</v>
      </c>
      <c r="AN13" s="5">
        <f t="shared" si="3"/>
        <v>37653</v>
      </c>
      <c r="AO13" s="5">
        <f t="shared" si="3"/>
        <v>37681</v>
      </c>
      <c r="AP13" s="5">
        <f t="shared" si="3"/>
        <v>37712</v>
      </c>
      <c r="AQ13" s="5">
        <f t="shared" si="3"/>
        <v>37742</v>
      </c>
      <c r="AR13" s="5">
        <f t="shared" si="3"/>
        <v>37773</v>
      </c>
      <c r="AS13" s="5">
        <f t="shared" si="3"/>
        <v>37803</v>
      </c>
      <c r="AT13" s="5">
        <f t="shared" si="3"/>
        <v>37834</v>
      </c>
      <c r="AU13" s="5">
        <f t="shared" si="3"/>
        <v>37865</v>
      </c>
      <c r="AV13" s="5">
        <f t="shared" si="3"/>
        <v>37895</v>
      </c>
      <c r="AW13" s="5">
        <f t="shared" si="3"/>
        <v>37926</v>
      </c>
      <c r="AX13" s="5">
        <f t="shared" si="3"/>
        <v>37956</v>
      </c>
      <c r="AY13" s="5">
        <f t="shared" si="3"/>
        <v>37987</v>
      </c>
      <c r="AZ13" s="5">
        <f t="shared" si="3"/>
        <v>38018</v>
      </c>
      <c r="BA13" s="5">
        <f t="shared" si="3"/>
        <v>38047</v>
      </c>
      <c r="BB13" s="5">
        <f t="shared" si="3"/>
        <v>38078</v>
      </c>
      <c r="BC13" s="5">
        <f t="shared" si="3"/>
        <v>38108</v>
      </c>
      <c r="BD13" s="5">
        <f t="shared" si="3"/>
        <v>38139</v>
      </c>
      <c r="BE13" s="5">
        <f t="shared" si="3"/>
        <v>38169</v>
      </c>
      <c r="BF13" s="5">
        <f t="shared" si="3"/>
        <v>38200</v>
      </c>
      <c r="BG13" s="5">
        <f t="shared" si="3"/>
        <v>38231</v>
      </c>
      <c r="BH13" s="5">
        <f t="shared" si="3"/>
        <v>38261</v>
      </c>
      <c r="BI13" s="5">
        <f t="shared" si="3"/>
        <v>38292</v>
      </c>
      <c r="BJ13" s="5">
        <f t="shared" si="3"/>
        <v>38322</v>
      </c>
      <c r="BK13" s="5">
        <f t="shared" si="3"/>
        <v>38353</v>
      </c>
      <c r="BL13" s="5">
        <f t="shared" si="3"/>
        <v>38384</v>
      </c>
      <c r="BM13" s="5">
        <f t="shared" si="3"/>
        <v>38412</v>
      </c>
      <c r="BN13" s="5">
        <f t="shared" si="3"/>
        <v>38443</v>
      </c>
      <c r="BO13" s="5">
        <f t="shared" si="3"/>
        <v>38473</v>
      </c>
      <c r="BP13" s="5">
        <f aca="true" t="shared" si="4" ref="BP13:BV13">DATE(2000,COLUMN(BO11)-1,1)</f>
        <v>38504</v>
      </c>
      <c r="BQ13" s="5">
        <f t="shared" si="4"/>
        <v>38534</v>
      </c>
      <c r="BR13" s="5">
        <f t="shared" si="4"/>
        <v>38565</v>
      </c>
      <c r="BS13" s="5">
        <f t="shared" si="4"/>
        <v>38596</v>
      </c>
      <c r="BT13" s="5">
        <f t="shared" si="4"/>
        <v>38626</v>
      </c>
      <c r="BU13" s="5">
        <f t="shared" si="4"/>
        <v>38657</v>
      </c>
      <c r="BV13" s="5">
        <f t="shared" si="4"/>
        <v>38687</v>
      </c>
      <c r="BW13" s="5">
        <f>DATE(2000,COLUMN(BV11)-1,1)</f>
        <v>38718</v>
      </c>
      <c r="BX13" s="5">
        <f>DATE(2000,COLUMN(BW11)-1,1)</f>
        <v>38749</v>
      </c>
      <c r="BY13" s="5">
        <f>DATE(2000,COLUMN(BX11)-1,1)</f>
        <v>38777</v>
      </c>
      <c r="BZ13" s="5">
        <f>DATE(2000,COLUMN(BY11)-1,1)</f>
        <v>38808</v>
      </c>
    </row>
    <row r="14" spans="1:78" ht="12.75">
      <c r="A14" s="3" t="s">
        <v>21</v>
      </c>
      <c r="B14" s="7">
        <f aca="true" t="shared" si="5" ref="B14:B25">SUM(C14:BY14)</f>
        <v>852</v>
      </c>
      <c r="C14" s="6"/>
      <c r="D14" s="6"/>
      <c r="E14" s="6"/>
      <c r="F14" s="6"/>
      <c r="G14" s="6">
        <v>12</v>
      </c>
      <c r="H14" s="6">
        <v>12</v>
      </c>
      <c r="I14" s="6">
        <v>12</v>
      </c>
      <c r="J14" s="6">
        <v>12</v>
      </c>
      <c r="K14" s="6">
        <v>12</v>
      </c>
      <c r="L14" s="6">
        <v>12</v>
      </c>
      <c r="M14" s="6">
        <v>12</v>
      </c>
      <c r="N14" s="6">
        <v>12</v>
      </c>
      <c r="O14" s="6">
        <v>12</v>
      </c>
      <c r="P14" s="6">
        <v>12</v>
      </c>
      <c r="Q14" s="6">
        <v>12</v>
      </c>
      <c r="R14" s="6">
        <v>12</v>
      </c>
      <c r="S14" s="6">
        <v>12</v>
      </c>
      <c r="T14" s="6">
        <v>12</v>
      </c>
      <c r="U14" s="6">
        <v>12</v>
      </c>
      <c r="V14" s="6">
        <v>12</v>
      </c>
      <c r="W14" s="6">
        <v>12</v>
      </c>
      <c r="X14" s="6">
        <v>12</v>
      </c>
      <c r="Y14" s="6">
        <v>12</v>
      </c>
      <c r="Z14" s="6">
        <v>12</v>
      </c>
      <c r="AA14" s="6">
        <v>12</v>
      </c>
      <c r="AB14" s="6">
        <v>12</v>
      </c>
      <c r="AC14" s="6">
        <v>12</v>
      </c>
      <c r="AD14" s="6">
        <v>12</v>
      </c>
      <c r="AE14" s="6">
        <v>12</v>
      </c>
      <c r="AF14" s="6">
        <v>12</v>
      </c>
      <c r="AG14" s="6">
        <v>12</v>
      </c>
      <c r="AH14" s="6">
        <v>12</v>
      </c>
      <c r="AI14" s="6">
        <v>12</v>
      </c>
      <c r="AJ14" s="6">
        <v>12</v>
      </c>
      <c r="AK14" s="6">
        <v>12</v>
      </c>
      <c r="AL14" s="6">
        <v>12</v>
      </c>
      <c r="AM14" s="6">
        <v>12</v>
      </c>
      <c r="AN14" s="6">
        <v>12</v>
      </c>
      <c r="AO14" s="6">
        <v>12</v>
      </c>
      <c r="AP14" s="6">
        <v>12</v>
      </c>
      <c r="AQ14" s="6">
        <v>12</v>
      </c>
      <c r="AR14" s="6">
        <v>12</v>
      </c>
      <c r="AS14" s="6">
        <v>12</v>
      </c>
      <c r="AT14" s="6">
        <v>12</v>
      </c>
      <c r="AU14" s="6">
        <v>12</v>
      </c>
      <c r="AV14" s="6">
        <v>12</v>
      </c>
      <c r="AW14" s="6">
        <v>12</v>
      </c>
      <c r="AX14" s="6">
        <v>12</v>
      </c>
      <c r="AY14" s="6">
        <v>12</v>
      </c>
      <c r="AZ14" s="6">
        <v>12</v>
      </c>
      <c r="BA14" s="6">
        <v>12</v>
      </c>
      <c r="BB14" s="6">
        <v>12</v>
      </c>
      <c r="BC14" s="6">
        <v>12</v>
      </c>
      <c r="BD14" s="6">
        <v>12</v>
      </c>
      <c r="BE14" s="6">
        <v>12</v>
      </c>
      <c r="BF14" s="6">
        <v>12</v>
      </c>
      <c r="BG14" s="6">
        <v>12</v>
      </c>
      <c r="BH14" s="6">
        <v>12</v>
      </c>
      <c r="BI14" s="6">
        <v>12</v>
      </c>
      <c r="BJ14" s="6">
        <v>12</v>
      </c>
      <c r="BK14" s="6">
        <v>12</v>
      </c>
      <c r="BL14" s="6">
        <v>12</v>
      </c>
      <c r="BM14" s="6">
        <v>12</v>
      </c>
      <c r="BN14" s="6">
        <v>12</v>
      </c>
      <c r="BO14" s="6">
        <v>12</v>
      </c>
      <c r="BP14" s="6">
        <v>12</v>
      </c>
      <c r="BQ14" s="6">
        <v>12</v>
      </c>
      <c r="BR14" s="6">
        <v>12</v>
      </c>
      <c r="BS14" s="6">
        <v>12</v>
      </c>
      <c r="BT14" s="6">
        <v>12</v>
      </c>
      <c r="BU14" s="6">
        <v>12</v>
      </c>
      <c r="BV14" s="6">
        <v>12</v>
      </c>
      <c r="BW14" s="6">
        <v>12</v>
      </c>
      <c r="BX14" s="6">
        <v>12</v>
      </c>
      <c r="BY14" s="6">
        <v>12</v>
      </c>
      <c r="BZ14" s="6">
        <v>12</v>
      </c>
    </row>
    <row r="15" spans="1:78" ht="12.75">
      <c r="A15" s="3" t="s">
        <v>22</v>
      </c>
      <c r="B15" s="8">
        <f t="shared" si="5"/>
        <v>724</v>
      </c>
      <c r="C15" s="6">
        <f>SUM(C16:C18)</f>
        <v>4</v>
      </c>
      <c r="D15" s="6">
        <f aca="true" t="shared" si="6" ref="D15:BO15">SUM(D16:D18)</f>
        <v>6</v>
      </c>
      <c r="E15" s="6">
        <f t="shared" si="6"/>
        <v>6</v>
      </c>
      <c r="F15" s="6">
        <f t="shared" si="6"/>
        <v>14</v>
      </c>
      <c r="G15" s="6">
        <f t="shared" si="6"/>
        <v>10</v>
      </c>
      <c r="H15" s="6">
        <f t="shared" si="6"/>
        <v>10</v>
      </c>
      <c r="I15" s="6">
        <f t="shared" si="6"/>
        <v>10</v>
      </c>
      <c r="J15" s="6">
        <f t="shared" si="6"/>
        <v>10</v>
      </c>
      <c r="K15" s="6">
        <f t="shared" si="6"/>
        <v>10</v>
      </c>
      <c r="L15" s="6">
        <f t="shared" si="6"/>
        <v>10</v>
      </c>
      <c r="M15" s="6">
        <f t="shared" si="6"/>
        <v>10</v>
      </c>
      <c r="N15" s="6">
        <f t="shared" si="6"/>
        <v>10</v>
      </c>
      <c r="O15" s="6">
        <f t="shared" si="6"/>
        <v>10</v>
      </c>
      <c r="P15" s="6">
        <f t="shared" si="6"/>
        <v>10</v>
      </c>
      <c r="Q15" s="6">
        <f t="shared" si="6"/>
        <v>10</v>
      </c>
      <c r="R15" s="6">
        <f t="shared" si="6"/>
        <v>10</v>
      </c>
      <c r="S15" s="6">
        <f t="shared" si="6"/>
        <v>10</v>
      </c>
      <c r="T15" s="6">
        <f t="shared" si="6"/>
        <v>10</v>
      </c>
      <c r="U15" s="6">
        <f t="shared" si="6"/>
        <v>10</v>
      </c>
      <c r="V15" s="6">
        <f t="shared" si="6"/>
        <v>10</v>
      </c>
      <c r="W15" s="6">
        <f t="shared" si="6"/>
        <v>10</v>
      </c>
      <c r="X15" s="6">
        <f t="shared" si="6"/>
        <v>10</v>
      </c>
      <c r="Y15" s="6">
        <f t="shared" si="6"/>
        <v>10</v>
      </c>
      <c r="Z15" s="6">
        <f t="shared" si="6"/>
        <v>10</v>
      </c>
      <c r="AA15" s="6">
        <f t="shared" si="6"/>
        <v>10</v>
      </c>
      <c r="AB15" s="6">
        <f t="shared" si="6"/>
        <v>10</v>
      </c>
      <c r="AC15" s="6">
        <f t="shared" si="6"/>
        <v>10</v>
      </c>
      <c r="AD15" s="6">
        <f t="shared" si="6"/>
        <v>10</v>
      </c>
      <c r="AE15" s="6">
        <f t="shared" si="6"/>
        <v>10</v>
      </c>
      <c r="AF15" s="6">
        <f t="shared" si="6"/>
        <v>10</v>
      </c>
      <c r="AG15" s="6">
        <f t="shared" si="6"/>
        <v>10</v>
      </c>
      <c r="AH15" s="6">
        <f t="shared" si="6"/>
        <v>10</v>
      </c>
      <c r="AI15" s="6">
        <f t="shared" si="6"/>
        <v>10</v>
      </c>
      <c r="AJ15" s="6">
        <f t="shared" si="6"/>
        <v>10</v>
      </c>
      <c r="AK15" s="6">
        <f t="shared" si="6"/>
        <v>10</v>
      </c>
      <c r="AL15" s="6">
        <f t="shared" si="6"/>
        <v>10</v>
      </c>
      <c r="AM15" s="6">
        <f t="shared" si="6"/>
        <v>10</v>
      </c>
      <c r="AN15" s="6">
        <f t="shared" si="6"/>
        <v>10</v>
      </c>
      <c r="AO15" s="6">
        <f t="shared" si="6"/>
        <v>10</v>
      </c>
      <c r="AP15" s="6">
        <f t="shared" si="6"/>
        <v>10</v>
      </c>
      <c r="AQ15" s="6">
        <f t="shared" si="6"/>
        <v>10</v>
      </c>
      <c r="AR15" s="6">
        <f t="shared" si="6"/>
        <v>10</v>
      </c>
      <c r="AS15" s="6">
        <f t="shared" si="6"/>
        <v>10</v>
      </c>
      <c r="AT15" s="6">
        <f t="shared" si="6"/>
        <v>10</v>
      </c>
      <c r="AU15" s="6">
        <f t="shared" si="6"/>
        <v>10</v>
      </c>
      <c r="AV15" s="6">
        <f t="shared" si="6"/>
        <v>10</v>
      </c>
      <c r="AW15" s="6">
        <f t="shared" si="6"/>
        <v>10</v>
      </c>
      <c r="AX15" s="6">
        <f t="shared" si="6"/>
        <v>10</v>
      </c>
      <c r="AY15" s="6">
        <f t="shared" si="6"/>
        <v>10</v>
      </c>
      <c r="AZ15" s="6">
        <f t="shared" si="6"/>
        <v>10</v>
      </c>
      <c r="BA15" s="6">
        <f t="shared" si="6"/>
        <v>10</v>
      </c>
      <c r="BB15" s="6">
        <f t="shared" si="6"/>
        <v>10</v>
      </c>
      <c r="BC15" s="6">
        <f t="shared" si="6"/>
        <v>10</v>
      </c>
      <c r="BD15" s="6">
        <f t="shared" si="6"/>
        <v>10</v>
      </c>
      <c r="BE15" s="6">
        <f t="shared" si="6"/>
        <v>10</v>
      </c>
      <c r="BF15" s="6">
        <f t="shared" si="6"/>
        <v>10</v>
      </c>
      <c r="BG15" s="6">
        <f t="shared" si="6"/>
        <v>10</v>
      </c>
      <c r="BH15" s="6">
        <f t="shared" si="6"/>
        <v>10</v>
      </c>
      <c r="BI15" s="6">
        <f t="shared" si="6"/>
        <v>10</v>
      </c>
      <c r="BJ15" s="6">
        <f t="shared" si="6"/>
        <v>10</v>
      </c>
      <c r="BK15" s="6">
        <f t="shared" si="6"/>
        <v>10</v>
      </c>
      <c r="BL15" s="6">
        <f t="shared" si="6"/>
        <v>10</v>
      </c>
      <c r="BM15" s="6">
        <f t="shared" si="6"/>
        <v>10</v>
      </c>
      <c r="BN15" s="6">
        <f t="shared" si="6"/>
        <v>10</v>
      </c>
      <c r="BO15" s="6">
        <f t="shared" si="6"/>
        <v>10</v>
      </c>
      <c r="BP15" s="6">
        <f aca="true" t="shared" si="7" ref="BP15:BY15">SUM(BP16:BP18)</f>
        <v>10</v>
      </c>
      <c r="BQ15" s="6">
        <f t="shared" si="7"/>
        <v>10</v>
      </c>
      <c r="BR15" s="6">
        <f t="shared" si="7"/>
        <v>10</v>
      </c>
      <c r="BS15" s="6">
        <f t="shared" si="7"/>
        <v>10</v>
      </c>
      <c r="BT15" s="6">
        <f t="shared" si="7"/>
        <v>10</v>
      </c>
      <c r="BU15" s="6">
        <f t="shared" si="7"/>
        <v>10</v>
      </c>
      <c r="BV15" s="6">
        <f t="shared" si="7"/>
        <v>10</v>
      </c>
      <c r="BW15" s="6">
        <f t="shared" si="7"/>
        <v>6</v>
      </c>
      <c r="BX15" s="6">
        <f t="shared" si="7"/>
        <v>4</v>
      </c>
      <c r="BY15" s="6">
        <f t="shared" si="7"/>
        <v>4</v>
      </c>
      <c r="BZ15" s="6">
        <f>SUM(BZ16:BZ18)</f>
        <v>4</v>
      </c>
    </row>
    <row r="16" spans="1:78" s="13" customFormat="1" ht="10.5">
      <c r="A16" s="10" t="s">
        <v>300</v>
      </c>
      <c r="B16" s="11">
        <f t="shared" si="5"/>
        <v>292</v>
      </c>
      <c r="C16" s="12"/>
      <c r="D16" s="12"/>
      <c r="E16" s="12"/>
      <c r="F16" s="12">
        <v>8</v>
      </c>
      <c r="G16" s="12">
        <v>4</v>
      </c>
      <c r="H16" s="12">
        <v>4</v>
      </c>
      <c r="I16" s="12">
        <v>4</v>
      </c>
      <c r="J16" s="12">
        <v>4</v>
      </c>
      <c r="K16" s="12">
        <v>4</v>
      </c>
      <c r="L16" s="12">
        <v>4</v>
      </c>
      <c r="M16" s="12">
        <v>4</v>
      </c>
      <c r="N16" s="12">
        <v>4</v>
      </c>
      <c r="O16" s="12">
        <v>4</v>
      </c>
      <c r="P16" s="12">
        <v>4</v>
      </c>
      <c r="Q16" s="12">
        <v>4</v>
      </c>
      <c r="R16" s="12">
        <v>4</v>
      </c>
      <c r="S16" s="12">
        <v>4</v>
      </c>
      <c r="T16" s="12">
        <v>4</v>
      </c>
      <c r="U16" s="12">
        <v>4</v>
      </c>
      <c r="V16" s="12">
        <v>4</v>
      </c>
      <c r="W16" s="12">
        <v>4</v>
      </c>
      <c r="X16" s="12">
        <v>4</v>
      </c>
      <c r="Y16" s="12">
        <v>4</v>
      </c>
      <c r="Z16" s="12">
        <v>4</v>
      </c>
      <c r="AA16" s="12">
        <v>4</v>
      </c>
      <c r="AB16" s="12">
        <v>4</v>
      </c>
      <c r="AC16" s="12">
        <v>4</v>
      </c>
      <c r="AD16" s="12">
        <v>4</v>
      </c>
      <c r="AE16" s="12">
        <v>4</v>
      </c>
      <c r="AF16" s="12">
        <v>4</v>
      </c>
      <c r="AG16" s="12">
        <v>4</v>
      </c>
      <c r="AH16" s="12">
        <v>4</v>
      </c>
      <c r="AI16" s="12">
        <v>4</v>
      </c>
      <c r="AJ16" s="12">
        <v>4</v>
      </c>
      <c r="AK16" s="12">
        <v>4</v>
      </c>
      <c r="AL16" s="12">
        <v>4</v>
      </c>
      <c r="AM16" s="12">
        <v>4</v>
      </c>
      <c r="AN16" s="12">
        <v>4</v>
      </c>
      <c r="AO16" s="12">
        <v>4</v>
      </c>
      <c r="AP16" s="12">
        <v>4</v>
      </c>
      <c r="AQ16" s="12">
        <v>4</v>
      </c>
      <c r="AR16" s="12">
        <v>4</v>
      </c>
      <c r="AS16" s="12">
        <v>4</v>
      </c>
      <c r="AT16" s="12">
        <v>4</v>
      </c>
      <c r="AU16" s="12">
        <v>4</v>
      </c>
      <c r="AV16" s="12">
        <v>4</v>
      </c>
      <c r="AW16" s="12">
        <v>4</v>
      </c>
      <c r="AX16" s="12">
        <v>4</v>
      </c>
      <c r="AY16" s="12">
        <v>4</v>
      </c>
      <c r="AZ16" s="12">
        <v>4</v>
      </c>
      <c r="BA16" s="12">
        <v>4</v>
      </c>
      <c r="BB16" s="12">
        <v>4</v>
      </c>
      <c r="BC16" s="12">
        <v>4</v>
      </c>
      <c r="BD16" s="12">
        <v>4</v>
      </c>
      <c r="BE16" s="12">
        <v>4</v>
      </c>
      <c r="BF16" s="12">
        <v>4</v>
      </c>
      <c r="BG16" s="12">
        <v>4</v>
      </c>
      <c r="BH16" s="12">
        <v>4</v>
      </c>
      <c r="BI16" s="12">
        <v>4</v>
      </c>
      <c r="BJ16" s="12">
        <v>4</v>
      </c>
      <c r="BK16" s="12">
        <v>4</v>
      </c>
      <c r="BL16" s="12">
        <v>4</v>
      </c>
      <c r="BM16" s="12">
        <v>4</v>
      </c>
      <c r="BN16" s="12">
        <v>4</v>
      </c>
      <c r="BO16" s="12">
        <v>4</v>
      </c>
      <c r="BP16" s="12">
        <v>4</v>
      </c>
      <c r="BQ16" s="12">
        <v>4</v>
      </c>
      <c r="BR16" s="12">
        <v>4</v>
      </c>
      <c r="BS16" s="12">
        <v>4</v>
      </c>
      <c r="BT16" s="12">
        <v>4</v>
      </c>
      <c r="BU16" s="12">
        <v>4</v>
      </c>
      <c r="BV16" s="12">
        <v>4</v>
      </c>
      <c r="BW16" s="12">
        <v>4</v>
      </c>
      <c r="BX16" s="12">
        <v>4</v>
      </c>
      <c r="BY16" s="12">
        <v>4</v>
      </c>
      <c r="BZ16" s="12">
        <v>4</v>
      </c>
    </row>
    <row r="17" spans="1:78" s="13" customFormat="1" ht="10.5">
      <c r="A17" s="10" t="s">
        <v>242</v>
      </c>
      <c r="B17" s="11">
        <f t="shared" si="5"/>
        <v>144</v>
      </c>
      <c r="C17" s="12">
        <v>0</v>
      </c>
      <c r="D17" s="12">
        <v>2</v>
      </c>
      <c r="E17" s="12">
        <v>2</v>
      </c>
      <c r="F17" s="12">
        <v>2</v>
      </c>
      <c r="G17" s="12">
        <v>2</v>
      </c>
      <c r="H17" s="12">
        <v>2</v>
      </c>
      <c r="I17" s="12">
        <v>2</v>
      </c>
      <c r="J17" s="12">
        <v>2</v>
      </c>
      <c r="K17" s="12">
        <v>2</v>
      </c>
      <c r="L17" s="12">
        <v>2</v>
      </c>
      <c r="M17" s="12">
        <v>2</v>
      </c>
      <c r="N17" s="12">
        <v>2</v>
      </c>
      <c r="O17" s="12">
        <v>2</v>
      </c>
      <c r="P17" s="12">
        <v>2</v>
      </c>
      <c r="Q17" s="12">
        <v>2</v>
      </c>
      <c r="R17" s="12">
        <v>2</v>
      </c>
      <c r="S17" s="12">
        <v>2</v>
      </c>
      <c r="T17" s="12">
        <v>2</v>
      </c>
      <c r="U17" s="12">
        <v>2</v>
      </c>
      <c r="V17" s="12">
        <v>2</v>
      </c>
      <c r="W17" s="12">
        <v>2</v>
      </c>
      <c r="X17" s="12">
        <v>2</v>
      </c>
      <c r="Y17" s="12">
        <v>2</v>
      </c>
      <c r="Z17" s="12">
        <v>2</v>
      </c>
      <c r="AA17" s="12">
        <v>2</v>
      </c>
      <c r="AB17" s="12">
        <v>2</v>
      </c>
      <c r="AC17" s="12">
        <v>2</v>
      </c>
      <c r="AD17" s="12">
        <v>2</v>
      </c>
      <c r="AE17" s="12">
        <v>2</v>
      </c>
      <c r="AF17" s="12">
        <v>2</v>
      </c>
      <c r="AG17" s="12">
        <v>2</v>
      </c>
      <c r="AH17" s="12">
        <v>2</v>
      </c>
      <c r="AI17" s="12">
        <v>2</v>
      </c>
      <c r="AJ17" s="12">
        <v>2</v>
      </c>
      <c r="AK17" s="12">
        <v>2</v>
      </c>
      <c r="AL17" s="12">
        <v>2</v>
      </c>
      <c r="AM17" s="12">
        <v>2</v>
      </c>
      <c r="AN17" s="12">
        <v>2</v>
      </c>
      <c r="AO17" s="12">
        <v>2</v>
      </c>
      <c r="AP17" s="12">
        <v>2</v>
      </c>
      <c r="AQ17" s="12">
        <v>2</v>
      </c>
      <c r="AR17" s="12">
        <v>2</v>
      </c>
      <c r="AS17" s="12">
        <v>2</v>
      </c>
      <c r="AT17" s="12">
        <v>2</v>
      </c>
      <c r="AU17" s="12">
        <v>2</v>
      </c>
      <c r="AV17" s="12">
        <v>2</v>
      </c>
      <c r="AW17" s="12">
        <v>2</v>
      </c>
      <c r="AX17" s="12">
        <v>2</v>
      </c>
      <c r="AY17" s="12">
        <v>2</v>
      </c>
      <c r="AZ17" s="12">
        <v>2</v>
      </c>
      <c r="BA17" s="12">
        <v>2</v>
      </c>
      <c r="BB17" s="12">
        <v>2</v>
      </c>
      <c r="BC17" s="12">
        <v>2</v>
      </c>
      <c r="BD17" s="12">
        <v>2</v>
      </c>
      <c r="BE17" s="12">
        <v>2</v>
      </c>
      <c r="BF17" s="12">
        <v>2</v>
      </c>
      <c r="BG17" s="12">
        <v>2</v>
      </c>
      <c r="BH17" s="12">
        <v>2</v>
      </c>
      <c r="BI17" s="12">
        <v>2</v>
      </c>
      <c r="BJ17" s="12">
        <v>2</v>
      </c>
      <c r="BK17" s="12">
        <v>2</v>
      </c>
      <c r="BL17" s="12">
        <v>2</v>
      </c>
      <c r="BM17" s="12">
        <v>2</v>
      </c>
      <c r="BN17" s="12">
        <v>2</v>
      </c>
      <c r="BO17" s="12">
        <v>2</v>
      </c>
      <c r="BP17" s="12">
        <v>2</v>
      </c>
      <c r="BQ17" s="12">
        <v>2</v>
      </c>
      <c r="BR17" s="12">
        <v>2</v>
      </c>
      <c r="BS17" s="12">
        <v>2</v>
      </c>
      <c r="BT17" s="12">
        <v>2</v>
      </c>
      <c r="BU17" s="12">
        <v>2</v>
      </c>
      <c r="BV17" s="12">
        <v>2</v>
      </c>
      <c r="BW17" s="12">
        <v>2</v>
      </c>
      <c r="BX17" s="12"/>
      <c r="BY17" s="12"/>
      <c r="BZ17" s="12"/>
    </row>
    <row r="18" spans="1:78" s="13" customFormat="1" ht="10.5">
      <c r="A18" s="10" t="s">
        <v>243</v>
      </c>
      <c r="B18" s="11">
        <f t="shared" si="5"/>
        <v>288</v>
      </c>
      <c r="C18" s="12">
        <v>4</v>
      </c>
      <c r="D18" s="12">
        <v>4</v>
      </c>
      <c r="E18" s="12">
        <v>4</v>
      </c>
      <c r="F18" s="12">
        <v>4</v>
      </c>
      <c r="G18" s="12">
        <v>4</v>
      </c>
      <c r="H18" s="12">
        <v>4</v>
      </c>
      <c r="I18" s="12">
        <v>4</v>
      </c>
      <c r="J18" s="12">
        <v>4</v>
      </c>
      <c r="K18" s="12">
        <v>4</v>
      </c>
      <c r="L18" s="12">
        <v>4</v>
      </c>
      <c r="M18" s="12">
        <v>4</v>
      </c>
      <c r="N18" s="12">
        <v>4</v>
      </c>
      <c r="O18" s="12">
        <v>4</v>
      </c>
      <c r="P18" s="12">
        <v>4</v>
      </c>
      <c r="Q18" s="12">
        <v>4</v>
      </c>
      <c r="R18" s="12">
        <v>4</v>
      </c>
      <c r="S18" s="12">
        <v>4</v>
      </c>
      <c r="T18" s="12">
        <v>4</v>
      </c>
      <c r="U18" s="12">
        <v>4</v>
      </c>
      <c r="V18" s="12">
        <v>4</v>
      </c>
      <c r="W18" s="12">
        <v>4</v>
      </c>
      <c r="X18" s="12">
        <v>4</v>
      </c>
      <c r="Y18" s="12">
        <v>4</v>
      </c>
      <c r="Z18" s="12">
        <v>4</v>
      </c>
      <c r="AA18" s="12">
        <v>4</v>
      </c>
      <c r="AB18" s="12">
        <v>4</v>
      </c>
      <c r="AC18" s="12">
        <v>4</v>
      </c>
      <c r="AD18" s="12">
        <v>4</v>
      </c>
      <c r="AE18" s="12">
        <v>4</v>
      </c>
      <c r="AF18" s="12">
        <v>4</v>
      </c>
      <c r="AG18" s="12">
        <v>4</v>
      </c>
      <c r="AH18" s="12">
        <v>4</v>
      </c>
      <c r="AI18" s="12">
        <v>4</v>
      </c>
      <c r="AJ18" s="12">
        <v>4</v>
      </c>
      <c r="AK18" s="12">
        <v>4</v>
      </c>
      <c r="AL18" s="12">
        <v>4</v>
      </c>
      <c r="AM18" s="12">
        <v>4</v>
      </c>
      <c r="AN18" s="12">
        <v>4</v>
      </c>
      <c r="AO18" s="12">
        <v>4</v>
      </c>
      <c r="AP18" s="12">
        <v>4</v>
      </c>
      <c r="AQ18" s="12">
        <v>4</v>
      </c>
      <c r="AR18" s="12">
        <v>4</v>
      </c>
      <c r="AS18" s="12">
        <v>4</v>
      </c>
      <c r="AT18" s="12">
        <v>4</v>
      </c>
      <c r="AU18" s="12">
        <v>4</v>
      </c>
      <c r="AV18" s="12">
        <v>4</v>
      </c>
      <c r="AW18" s="12">
        <v>4</v>
      </c>
      <c r="AX18" s="12">
        <v>4</v>
      </c>
      <c r="AY18" s="12">
        <v>4</v>
      </c>
      <c r="AZ18" s="12">
        <v>4</v>
      </c>
      <c r="BA18" s="12">
        <v>4</v>
      </c>
      <c r="BB18" s="12">
        <v>4</v>
      </c>
      <c r="BC18" s="12">
        <v>4</v>
      </c>
      <c r="BD18" s="12">
        <v>4</v>
      </c>
      <c r="BE18" s="12">
        <v>4</v>
      </c>
      <c r="BF18" s="12">
        <v>4</v>
      </c>
      <c r="BG18" s="12">
        <v>4</v>
      </c>
      <c r="BH18" s="12">
        <v>4</v>
      </c>
      <c r="BI18" s="12">
        <v>4</v>
      </c>
      <c r="BJ18" s="12">
        <v>4</v>
      </c>
      <c r="BK18" s="12">
        <v>4</v>
      </c>
      <c r="BL18" s="12">
        <v>4</v>
      </c>
      <c r="BM18" s="12">
        <v>4</v>
      </c>
      <c r="BN18" s="12">
        <v>4</v>
      </c>
      <c r="BO18" s="12">
        <v>4</v>
      </c>
      <c r="BP18" s="12">
        <v>4</v>
      </c>
      <c r="BQ18" s="12">
        <v>4</v>
      </c>
      <c r="BR18" s="12">
        <v>4</v>
      </c>
      <c r="BS18" s="12">
        <v>4</v>
      </c>
      <c r="BT18" s="12">
        <v>4</v>
      </c>
      <c r="BU18" s="12">
        <v>4</v>
      </c>
      <c r="BV18" s="12">
        <v>4</v>
      </c>
      <c r="BW18" s="12"/>
      <c r="BX18" s="12"/>
      <c r="BY18" s="12"/>
      <c r="BZ18" s="12"/>
    </row>
    <row r="19" spans="1:78" ht="12.75">
      <c r="A19" s="2" t="s">
        <v>23</v>
      </c>
      <c r="B19" s="8">
        <f t="shared" si="5"/>
        <v>128</v>
      </c>
      <c r="C19" s="6">
        <f>C14-C15</f>
        <v>-4</v>
      </c>
      <c r="D19" s="6">
        <f aca="true" t="shared" si="8" ref="D19:BO19">D14-D15</f>
        <v>-6</v>
      </c>
      <c r="E19" s="6">
        <f t="shared" si="8"/>
        <v>-6</v>
      </c>
      <c r="F19" s="6">
        <f t="shared" si="8"/>
        <v>-14</v>
      </c>
      <c r="G19" s="6">
        <f t="shared" si="8"/>
        <v>2</v>
      </c>
      <c r="H19" s="6">
        <f t="shared" si="8"/>
        <v>2</v>
      </c>
      <c r="I19" s="6">
        <f t="shared" si="8"/>
        <v>2</v>
      </c>
      <c r="J19" s="6">
        <f t="shared" si="8"/>
        <v>2</v>
      </c>
      <c r="K19" s="6">
        <f t="shared" si="8"/>
        <v>2</v>
      </c>
      <c r="L19" s="6">
        <f t="shared" si="8"/>
        <v>2</v>
      </c>
      <c r="M19" s="6">
        <f t="shared" si="8"/>
        <v>2</v>
      </c>
      <c r="N19" s="6">
        <f t="shared" si="8"/>
        <v>2</v>
      </c>
      <c r="O19" s="6">
        <f t="shared" si="8"/>
        <v>2</v>
      </c>
      <c r="P19" s="6">
        <f t="shared" si="8"/>
        <v>2</v>
      </c>
      <c r="Q19" s="6">
        <f t="shared" si="8"/>
        <v>2</v>
      </c>
      <c r="R19" s="6">
        <f t="shared" si="8"/>
        <v>2</v>
      </c>
      <c r="S19" s="6">
        <f t="shared" si="8"/>
        <v>2</v>
      </c>
      <c r="T19" s="6">
        <f t="shared" si="8"/>
        <v>2</v>
      </c>
      <c r="U19" s="6">
        <f t="shared" si="8"/>
        <v>2</v>
      </c>
      <c r="V19" s="6">
        <f t="shared" si="8"/>
        <v>2</v>
      </c>
      <c r="W19" s="6">
        <f t="shared" si="8"/>
        <v>2</v>
      </c>
      <c r="X19" s="6">
        <f t="shared" si="8"/>
        <v>2</v>
      </c>
      <c r="Y19" s="6">
        <f t="shared" si="8"/>
        <v>2</v>
      </c>
      <c r="Z19" s="6">
        <f t="shared" si="8"/>
        <v>2</v>
      </c>
      <c r="AA19" s="6">
        <f t="shared" si="8"/>
        <v>2</v>
      </c>
      <c r="AB19" s="6">
        <f t="shared" si="8"/>
        <v>2</v>
      </c>
      <c r="AC19" s="6">
        <f t="shared" si="8"/>
        <v>2</v>
      </c>
      <c r="AD19" s="6">
        <f t="shared" si="8"/>
        <v>2</v>
      </c>
      <c r="AE19" s="6">
        <f t="shared" si="8"/>
        <v>2</v>
      </c>
      <c r="AF19" s="6">
        <f t="shared" si="8"/>
        <v>2</v>
      </c>
      <c r="AG19" s="6">
        <f t="shared" si="8"/>
        <v>2</v>
      </c>
      <c r="AH19" s="6">
        <f t="shared" si="8"/>
        <v>2</v>
      </c>
      <c r="AI19" s="6">
        <f t="shared" si="8"/>
        <v>2</v>
      </c>
      <c r="AJ19" s="6">
        <f t="shared" si="8"/>
        <v>2</v>
      </c>
      <c r="AK19" s="6">
        <f t="shared" si="8"/>
        <v>2</v>
      </c>
      <c r="AL19" s="6">
        <f t="shared" si="8"/>
        <v>2</v>
      </c>
      <c r="AM19" s="6">
        <f t="shared" si="8"/>
        <v>2</v>
      </c>
      <c r="AN19" s="6">
        <f t="shared" si="8"/>
        <v>2</v>
      </c>
      <c r="AO19" s="6">
        <f t="shared" si="8"/>
        <v>2</v>
      </c>
      <c r="AP19" s="6">
        <f t="shared" si="8"/>
        <v>2</v>
      </c>
      <c r="AQ19" s="6">
        <f t="shared" si="8"/>
        <v>2</v>
      </c>
      <c r="AR19" s="6">
        <f t="shared" si="8"/>
        <v>2</v>
      </c>
      <c r="AS19" s="6">
        <f t="shared" si="8"/>
        <v>2</v>
      </c>
      <c r="AT19" s="6">
        <f t="shared" si="8"/>
        <v>2</v>
      </c>
      <c r="AU19" s="6">
        <f t="shared" si="8"/>
        <v>2</v>
      </c>
      <c r="AV19" s="6">
        <f t="shared" si="8"/>
        <v>2</v>
      </c>
      <c r="AW19" s="6">
        <f t="shared" si="8"/>
        <v>2</v>
      </c>
      <c r="AX19" s="6">
        <f t="shared" si="8"/>
        <v>2</v>
      </c>
      <c r="AY19" s="6">
        <f t="shared" si="8"/>
        <v>2</v>
      </c>
      <c r="AZ19" s="6">
        <f t="shared" si="8"/>
        <v>2</v>
      </c>
      <c r="BA19" s="6">
        <f t="shared" si="8"/>
        <v>2</v>
      </c>
      <c r="BB19" s="6">
        <f t="shared" si="8"/>
        <v>2</v>
      </c>
      <c r="BC19" s="6">
        <f t="shared" si="8"/>
        <v>2</v>
      </c>
      <c r="BD19" s="6">
        <f t="shared" si="8"/>
        <v>2</v>
      </c>
      <c r="BE19" s="6">
        <f t="shared" si="8"/>
        <v>2</v>
      </c>
      <c r="BF19" s="6">
        <f t="shared" si="8"/>
        <v>2</v>
      </c>
      <c r="BG19" s="6">
        <f t="shared" si="8"/>
        <v>2</v>
      </c>
      <c r="BH19" s="6">
        <f t="shared" si="8"/>
        <v>2</v>
      </c>
      <c r="BI19" s="6">
        <f t="shared" si="8"/>
        <v>2</v>
      </c>
      <c r="BJ19" s="6">
        <f t="shared" si="8"/>
        <v>2</v>
      </c>
      <c r="BK19" s="6">
        <f t="shared" si="8"/>
        <v>2</v>
      </c>
      <c r="BL19" s="6">
        <f t="shared" si="8"/>
        <v>2</v>
      </c>
      <c r="BM19" s="6">
        <f t="shared" si="8"/>
        <v>2</v>
      </c>
      <c r="BN19" s="6">
        <f t="shared" si="8"/>
        <v>2</v>
      </c>
      <c r="BO19" s="6">
        <f t="shared" si="8"/>
        <v>2</v>
      </c>
      <c r="BP19" s="6">
        <f aca="true" t="shared" si="9" ref="BP19:BY19">BP14-BP15</f>
        <v>2</v>
      </c>
      <c r="BQ19" s="6">
        <f t="shared" si="9"/>
        <v>2</v>
      </c>
      <c r="BR19" s="6">
        <f t="shared" si="9"/>
        <v>2</v>
      </c>
      <c r="BS19" s="6">
        <f t="shared" si="9"/>
        <v>2</v>
      </c>
      <c r="BT19" s="6">
        <f t="shared" si="9"/>
        <v>2</v>
      </c>
      <c r="BU19" s="6">
        <f t="shared" si="9"/>
        <v>2</v>
      </c>
      <c r="BV19" s="6">
        <f t="shared" si="9"/>
        <v>2</v>
      </c>
      <c r="BW19" s="6">
        <f t="shared" si="9"/>
        <v>6</v>
      </c>
      <c r="BX19" s="6">
        <f t="shared" si="9"/>
        <v>8</v>
      </c>
      <c r="BY19" s="6">
        <f t="shared" si="9"/>
        <v>8</v>
      </c>
      <c r="BZ19" s="6">
        <f>BZ14-BZ15</f>
        <v>8</v>
      </c>
    </row>
    <row r="20" spans="1:78" ht="12.75">
      <c r="A20" s="3" t="s">
        <v>24</v>
      </c>
      <c r="B20" s="8">
        <f t="shared" si="5"/>
        <v>-30</v>
      </c>
      <c r="C20" s="6">
        <v>-30</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row>
    <row r="21" spans="1:78" ht="12.75">
      <c r="A21" s="2" t="s">
        <v>25</v>
      </c>
      <c r="B21" s="8">
        <f t="shared" si="5"/>
        <v>98</v>
      </c>
      <c r="C21" s="6">
        <f>SUM(C19:C20)</f>
        <v>-34</v>
      </c>
      <c r="D21" s="6">
        <f aca="true" t="shared" si="10" ref="D21:BO21">SUM(D19:D20)</f>
        <v>-6</v>
      </c>
      <c r="E21" s="6">
        <f t="shared" si="10"/>
        <v>-6</v>
      </c>
      <c r="F21" s="6">
        <f t="shared" si="10"/>
        <v>-14</v>
      </c>
      <c r="G21" s="6">
        <f t="shared" si="10"/>
        <v>2</v>
      </c>
      <c r="H21" s="6">
        <f t="shared" si="10"/>
        <v>2</v>
      </c>
      <c r="I21" s="6">
        <f t="shared" si="10"/>
        <v>2</v>
      </c>
      <c r="J21" s="6">
        <f t="shared" si="10"/>
        <v>2</v>
      </c>
      <c r="K21" s="6">
        <f t="shared" si="10"/>
        <v>2</v>
      </c>
      <c r="L21" s="6">
        <f t="shared" si="10"/>
        <v>2</v>
      </c>
      <c r="M21" s="6">
        <f t="shared" si="10"/>
        <v>2</v>
      </c>
      <c r="N21" s="6">
        <f t="shared" si="10"/>
        <v>2</v>
      </c>
      <c r="O21" s="6">
        <f t="shared" si="10"/>
        <v>2</v>
      </c>
      <c r="P21" s="6">
        <f t="shared" si="10"/>
        <v>2</v>
      </c>
      <c r="Q21" s="6">
        <f t="shared" si="10"/>
        <v>2</v>
      </c>
      <c r="R21" s="6">
        <f t="shared" si="10"/>
        <v>2</v>
      </c>
      <c r="S21" s="6">
        <f t="shared" si="10"/>
        <v>2</v>
      </c>
      <c r="T21" s="6">
        <f t="shared" si="10"/>
        <v>2</v>
      </c>
      <c r="U21" s="6">
        <f t="shared" si="10"/>
        <v>2</v>
      </c>
      <c r="V21" s="6">
        <f t="shared" si="10"/>
        <v>2</v>
      </c>
      <c r="W21" s="6">
        <f t="shared" si="10"/>
        <v>2</v>
      </c>
      <c r="X21" s="6">
        <f t="shared" si="10"/>
        <v>2</v>
      </c>
      <c r="Y21" s="6">
        <f t="shared" si="10"/>
        <v>2</v>
      </c>
      <c r="Z21" s="6">
        <f t="shared" si="10"/>
        <v>2</v>
      </c>
      <c r="AA21" s="6">
        <f t="shared" si="10"/>
        <v>2</v>
      </c>
      <c r="AB21" s="6">
        <f t="shared" si="10"/>
        <v>2</v>
      </c>
      <c r="AC21" s="6">
        <f t="shared" si="10"/>
        <v>2</v>
      </c>
      <c r="AD21" s="6">
        <f t="shared" si="10"/>
        <v>2</v>
      </c>
      <c r="AE21" s="6">
        <f t="shared" si="10"/>
        <v>2</v>
      </c>
      <c r="AF21" s="6">
        <f t="shared" si="10"/>
        <v>2</v>
      </c>
      <c r="AG21" s="6">
        <f t="shared" si="10"/>
        <v>2</v>
      </c>
      <c r="AH21" s="6">
        <f t="shared" si="10"/>
        <v>2</v>
      </c>
      <c r="AI21" s="6">
        <f t="shared" si="10"/>
        <v>2</v>
      </c>
      <c r="AJ21" s="6">
        <f t="shared" si="10"/>
        <v>2</v>
      </c>
      <c r="AK21" s="6">
        <f t="shared" si="10"/>
        <v>2</v>
      </c>
      <c r="AL21" s="6">
        <f t="shared" si="10"/>
        <v>2</v>
      </c>
      <c r="AM21" s="6">
        <f t="shared" si="10"/>
        <v>2</v>
      </c>
      <c r="AN21" s="6">
        <f t="shared" si="10"/>
        <v>2</v>
      </c>
      <c r="AO21" s="6">
        <f t="shared" si="10"/>
        <v>2</v>
      </c>
      <c r="AP21" s="6">
        <f t="shared" si="10"/>
        <v>2</v>
      </c>
      <c r="AQ21" s="6">
        <f t="shared" si="10"/>
        <v>2</v>
      </c>
      <c r="AR21" s="6">
        <f t="shared" si="10"/>
        <v>2</v>
      </c>
      <c r="AS21" s="6">
        <f t="shared" si="10"/>
        <v>2</v>
      </c>
      <c r="AT21" s="6">
        <f t="shared" si="10"/>
        <v>2</v>
      </c>
      <c r="AU21" s="6">
        <f t="shared" si="10"/>
        <v>2</v>
      </c>
      <c r="AV21" s="6">
        <f t="shared" si="10"/>
        <v>2</v>
      </c>
      <c r="AW21" s="6">
        <f t="shared" si="10"/>
        <v>2</v>
      </c>
      <c r="AX21" s="6">
        <f t="shared" si="10"/>
        <v>2</v>
      </c>
      <c r="AY21" s="6">
        <f t="shared" si="10"/>
        <v>2</v>
      </c>
      <c r="AZ21" s="6">
        <f t="shared" si="10"/>
        <v>2</v>
      </c>
      <c r="BA21" s="6">
        <f t="shared" si="10"/>
        <v>2</v>
      </c>
      <c r="BB21" s="6">
        <f t="shared" si="10"/>
        <v>2</v>
      </c>
      <c r="BC21" s="6">
        <f t="shared" si="10"/>
        <v>2</v>
      </c>
      <c r="BD21" s="6">
        <f t="shared" si="10"/>
        <v>2</v>
      </c>
      <c r="BE21" s="6">
        <f t="shared" si="10"/>
        <v>2</v>
      </c>
      <c r="BF21" s="6">
        <f t="shared" si="10"/>
        <v>2</v>
      </c>
      <c r="BG21" s="6">
        <f t="shared" si="10"/>
        <v>2</v>
      </c>
      <c r="BH21" s="6">
        <f t="shared" si="10"/>
        <v>2</v>
      </c>
      <c r="BI21" s="6">
        <f t="shared" si="10"/>
        <v>2</v>
      </c>
      <c r="BJ21" s="6">
        <f t="shared" si="10"/>
        <v>2</v>
      </c>
      <c r="BK21" s="6">
        <f t="shared" si="10"/>
        <v>2</v>
      </c>
      <c r="BL21" s="6">
        <f t="shared" si="10"/>
        <v>2</v>
      </c>
      <c r="BM21" s="6">
        <f t="shared" si="10"/>
        <v>2</v>
      </c>
      <c r="BN21" s="6">
        <f t="shared" si="10"/>
        <v>2</v>
      </c>
      <c r="BO21" s="6">
        <f t="shared" si="10"/>
        <v>2</v>
      </c>
      <c r="BP21" s="6">
        <f aca="true" t="shared" si="11" ref="BP21:BZ21">SUM(BP19:BP20)</f>
        <v>2</v>
      </c>
      <c r="BQ21" s="6">
        <f t="shared" si="11"/>
        <v>2</v>
      </c>
      <c r="BR21" s="6">
        <f t="shared" si="11"/>
        <v>2</v>
      </c>
      <c r="BS21" s="6">
        <f t="shared" si="11"/>
        <v>2</v>
      </c>
      <c r="BT21" s="6">
        <f t="shared" si="11"/>
        <v>2</v>
      </c>
      <c r="BU21" s="6">
        <f t="shared" si="11"/>
        <v>2</v>
      </c>
      <c r="BV21" s="6">
        <f t="shared" si="11"/>
        <v>2</v>
      </c>
      <c r="BW21" s="6">
        <f t="shared" si="11"/>
        <v>6</v>
      </c>
      <c r="BX21" s="6">
        <f t="shared" si="11"/>
        <v>8</v>
      </c>
      <c r="BY21" s="6">
        <f t="shared" si="11"/>
        <v>8</v>
      </c>
      <c r="BZ21" s="6">
        <f t="shared" si="11"/>
        <v>8</v>
      </c>
    </row>
    <row r="22" spans="1:78" ht="12.75">
      <c r="A22" s="3" t="s">
        <v>26</v>
      </c>
      <c r="B22" s="8">
        <f t="shared" si="5"/>
        <v>5.5</v>
      </c>
      <c r="C22" s="6">
        <f>SUM(C23:C24)</f>
        <v>-18</v>
      </c>
      <c r="D22" s="6">
        <f aca="true" t="shared" si="12" ref="D22:BO22">SUM(D23:D24)</f>
        <v>0</v>
      </c>
      <c r="E22" s="6">
        <f t="shared" si="12"/>
        <v>0</v>
      </c>
      <c r="F22" s="6">
        <f t="shared" si="12"/>
        <v>0</v>
      </c>
      <c r="G22" s="6">
        <f t="shared" si="12"/>
        <v>0</v>
      </c>
      <c r="H22" s="6">
        <f t="shared" si="12"/>
        <v>1</v>
      </c>
      <c r="I22" s="6">
        <f t="shared" si="12"/>
        <v>2</v>
      </c>
      <c r="J22" s="6">
        <f t="shared" si="12"/>
        <v>0</v>
      </c>
      <c r="K22" s="6">
        <f t="shared" si="12"/>
        <v>0</v>
      </c>
      <c r="L22" s="6">
        <f t="shared" si="12"/>
        <v>0</v>
      </c>
      <c r="M22" s="6">
        <f t="shared" si="12"/>
        <v>0</v>
      </c>
      <c r="N22" s="6">
        <f t="shared" si="12"/>
        <v>0.9</v>
      </c>
      <c r="O22" s="6">
        <f t="shared" si="12"/>
        <v>2</v>
      </c>
      <c r="P22" s="6">
        <f t="shared" si="12"/>
        <v>0</v>
      </c>
      <c r="Q22" s="6">
        <f t="shared" si="12"/>
        <v>0</v>
      </c>
      <c r="R22" s="6">
        <f t="shared" si="12"/>
        <v>0</v>
      </c>
      <c r="S22" s="6">
        <f t="shared" si="12"/>
        <v>0</v>
      </c>
      <c r="T22" s="6">
        <f t="shared" si="12"/>
        <v>0.8</v>
      </c>
      <c r="U22" s="6">
        <f t="shared" si="12"/>
        <v>2</v>
      </c>
      <c r="V22" s="6">
        <f t="shared" si="12"/>
        <v>0</v>
      </c>
      <c r="W22" s="6">
        <f t="shared" si="12"/>
        <v>0</v>
      </c>
      <c r="X22" s="6">
        <f t="shared" si="12"/>
        <v>0</v>
      </c>
      <c r="Y22" s="6">
        <f t="shared" si="12"/>
        <v>0</v>
      </c>
      <c r="Z22" s="6">
        <f t="shared" si="12"/>
        <v>0.7</v>
      </c>
      <c r="AA22" s="6">
        <f t="shared" si="12"/>
        <v>2</v>
      </c>
      <c r="AB22" s="6">
        <f t="shared" si="12"/>
        <v>0</v>
      </c>
      <c r="AC22" s="6">
        <f t="shared" si="12"/>
        <v>0</v>
      </c>
      <c r="AD22" s="6">
        <f t="shared" si="12"/>
        <v>0</v>
      </c>
      <c r="AE22" s="6">
        <f t="shared" si="12"/>
        <v>0</v>
      </c>
      <c r="AF22" s="6">
        <f t="shared" si="12"/>
        <v>0.6</v>
      </c>
      <c r="AG22" s="6">
        <f t="shared" si="12"/>
        <v>2</v>
      </c>
      <c r="AH22" s="6">
        <f t="shared" si="12"/>
        <v>0</v>
      </c>
      <c r="AI22" s="6">
        <f t="shared" si="12"/>
        <v>0</v>
      </c>
      <c r="AJ22" s="6">
        <f t="shared" si="12"/>
        <v>0</v>
      </c>
      <c r="AK22" s="6">
        <f t="shared" si="12"/>
        <v>0</v>
      </c>
      <c r="AL22" s="6">
        <f t="shared" si="12"/>
        <v>0.5</v>
      </c>
      <c r="AM22" s="6">
        <f t="shared" si="12"/>
        <v>2</v>
      </c>
      <c r="AN22" s="6">
        <f t="shared" si="12"/>
        <v>0</v>
      </c>
      <c r="AO22" s="6">
        <f t="shared" si="12"/>
        <v>0</v>
      </c>
      <c r="AP22" s="6">
        <f t="shared" si="12"/>
        <v>0</v>
      </c>
      <c r="AQ22" s="6">
        <f t="shared" si="12"/>
        <v>0</v>
      </c>
      <c r="AR22" s="6">
        <f t="shared" si="12"/>
        <v>0.4</v>
      </c>
      <c r="AS22" s="6">
        <f t="shared" si="12"/>
        <v>2</v>
      </c>
      <c r="AT22" s="6">
        <f t="shared" si="12"/>
        <v>0</v>
      </c>
      <c r="AU22" s="6">
        <f t="shared" si="12"/>
        <v>0</v>
      </c>
      <c r="AV22" s="6">
        <f t="shared" si="12"/>
        <v>0</v>
      </c>
      <c r="AW22" s="6">
        <f t="shared" si="12"/>
        <v>0</v>
      </c>
      <c r="AX22" s="6">
        <f t="shared" si="12"/>
        <v>0.3</v>
      </c>
      <c r="AY22" s="6">
        <f t="shared" si="12"/>
        <v>2</v>
      </c>
      <c r="AZ22" s="6">
        <f t="shared" si="12"/>
        <v>0</v>
      </c>
      <c r="BA22" s="6">
        <f t="shared" si="12"/>
        <v>0</v>
      </c>
      <c r="BB22" s="6">
        <f t="shared" si="12"/>
        <v>0</v>
      </c>
      <c r="BC22" s="6">
        <f t="shared" si="12"/>
        <v>0</v>
      </c>
      <c r="BD22" s="6">
        <f t="shared" si="12"/>
        <v>0.2</v>
      </c>
      <c r="BE22" s="6">
        <f t="shared" si="12"/>
        <v>2</v>
      </c>
      <c r="BF22" s="6">
        <f t="shared" si="12"/>
        <v>0</v>
      </c>
      <c r="BG22" s="6">
        <f t="shared" si="12"/>
        <v>0</v>
      </c>
      <c r="BH22" s="6">
        <f t="shared" si="12"/>
        <v>0</v>
      </c>
      <c r="BI22" s="6">
        <f t="shared" si="12"/>
        <v>0</v>
      </c>
      <c r="BJ22" s="6">
        <f t="shared" si="12"/>
        <v>0.1</v>
      </c>
      <c r="BK22" s="6">
        <f t="shared" si="12"/>
        <v>0</v>
      </c>
      <c r="BL22" s="6">
        <f t="shared" si="12"/>
        <v>0</v>
      </c>
      <c r="BM22" s="6">
        <f t="shared" si="12"/>
        <v>0</v>
      </c>
      <c r="BN22" s="6">
        <f t="shared" si="12"/>
        <v>0</v>
      </c>
      <c r="BO22" s="6">
        <f t="shared" si="12"/>
        <v>0</v>
      </c>
      <c r="BP22" s="6">
        <f aca="true" t="shared" si="13" ref="BP22:BY22">SUM(BP23:BP24)</f>
        <v>0</v>
      </c>
      <c r="BQ22" s="6">
        <f t="shared" si="13"/>
        <v>0</v>
      </c>
      <c r="BR22" s="6">
        <f t="shared" si="13"/>
        <v>0</v>
      </c>
      <c r="BS22" s="6">
        <f t="shared" si="13"/>
        <v>0</v>
      </c>
      <c r="BT22" s="6">
        <f t="shared" si="13"/>
        <v>0</v>
      </c>
      <c r="BU22" s="6">
        <f t="shared" si="13"/>
        <v>0</v>
      </c>
      <c r="BV22" s="6">
        <f t="shared" si="13"/>
        <v>0</v>
      </c>
      <c r="BW22" s="6">
        <f t="shared" si="13"/>
        <v>0</v>
      </c>
      <c r="BX22" s="6">
        <f t="shared" si="13"/>
        <v>0</v>
      </c>
      <c r="BY22" s="6">
        <f t="shared" si="13"/>
        <v>0</v>
      </c>
      <c r="BZ22" s="6">
        <f>SUM(BZ23:BZ24)</f>
        <v>0</v>
      </c>
    </row>
    <row r="23" spans="1:78" s="13" customFormat="1" ht="10.5">
      <c r="A23" s="10" t="s">
        <v>178</v>
      </c>
      <c r="B23" s="11">
        <f t="shared" si="5"/>
        <v>0</v>
      </c>
      <c r="C23" s="12">
        <f>-20+2</f>
        <v>-18</v>
      </c>
      <c r="D23" s="12"/>
      <c r="E23" s="12"/>
      <c r="F23" s="12"/>
      <c r="G23" s="12"/>
      <c r="H23" s="12"/>
      <c r="I23" s="12">
        <v>2</v>
      </c>
      <c r="J23" s="12"/>
      <c r="K23" s="12"/>
      <c r="L23" s="12"/>
      <c r="M23" s="12"/>
      <c r="N23" s="12"/>
      <c r="O23" s="12">
        <v>2</v>
      </c>
      <c r="P23" s="12"/>
      <c r="Q23" s="12"/>
      <c r="R23" s="12"/>
      <c r="S23" s="12"/>
      <c r="T23" s="12"/>
      <c r="U23" s="12">
        <v>2</v>
      </c>
      <c r="V23" s="12"/>
      <c r="W23" s="12"/>
      <c r="X23" s="12"/>
      <c r="Y23" s="12"/>
      <c r="Z23" s="12"/>
      <c r="AA23" s="12">
        <v>2</v>
      </c>
      <c r="AB23" s="12"/>
      <c r="AC23" s="12"/>
      <c r="AD23" s="12"/>
      <c r="AE23" s="12"/>
      <c r="AF23" s="12"/>
      <c r="AG23" s="12">
        <v>2</v>
      </c>
      <c r="AH23" s="12"/>
      <c r="AI23" s="12"/>
      <c r="AJ23" s="12"/>
      <c r="AK23" s="12"/>
      <c r="AL23" s="12"/>
      <c r="AM23" s="12">
        <v>2</v>
      </c>
      <c r="AN23" s="12"/>
      <c r="AO23" s="12"/>
      <c r="AP23" s="12"/>
      <c r="AQ23" s="12"/>
      <c r="AR23" s="12"/>
      <c r="AS23" s="12">
        <v>2</v>
      </c>
      <c r="AT23" s="12"/>
      <c r="AU23" s="12"/>
      <c r="AV23" s="12"/>
      <c r="AW23" s="12"/>
      <c r="AX23" s="12"/>
      <c r="AY23" s="12">
        <v>2</v>
      </c>
      <c r="AZ23" s="12"/>
      <c r="BA23" s="12"/>
      <c r="BB23" s="12"/>
      <c r="BC23" s="12"/>
      <c r="BD23" s="12"/>
      <c r="BE23" s="12">
        <v>2</v>
      </c>
      <c r="BF23" s="12"/>
      <c r="BG23" s="12"/>
      <c r="BH23" s="12"/>
      <c r="BI23" s="12"/>
      <c r="BJ23" s="12"/>
      <c r="BK23" s="12"/>
      <c r="BL23" s="12"/>
      <c r="BM23" s="12"/>
      <c r="BN23" s="12"/>
      <c r="BO23" s="12"/>
      <c r="BP23" s="12"/>
      <c r="BQ23" s="12"/>
      <c r="BR23" s="12"/>
      <c r="BS23" s="12"/>
      <c r="BT23" s="12"/>
      <c r="BU23" s="12"/>
      <c r="BV23" s="12"/>
      <c r="BW23" s="12"/>
      <c r="BX23" s="12"/>
      <c r="BY23" s="12"/>
      <c r="BZ23" s="12"/>
    </row>
    <row r="24" spans="1:78" s="13" customFormat="1" ht="10.5">
      <c r="A24" s="10" t="s">
        <v>29</v>
      </c>
      <c r="B24" s="11">
        <f t="shared" si="5"/>
        <v>5.5</v>
      </c>
      <c r="C24" s="12"/>
      <c r="D24" s="12"/>
      <c r="E24" s="12"/>
      <c r="F24" s="12"/>
      <c r="G24" s="12"/>
      <c r="H24" s="12">
        <v>1</v>
      </c>
      <c r="I24" s="12"/>
      <c r="J24" s="12"/>
      <c r="K24" s="12"/>
      <c r="L24" s="12"/>
      <c r="M24" s="12"/>
      <c r="N24" s="12">
        <v>0.9</v>
      </c>
      <c r="O24" s="12"/>
      <c r="P24" s="12"/>
      <c r="Q24" s="12"/>
      <c r="R24" s="12"/>
      <c r="S24" s="12"/>
      <c r="T24" s="12">
        <v>0.8</v>
      </c>
      <c r="U24" s="12"/>
      <c r="V24" s="12"/>
      <c r="W24" s="12"/>
      <c r="X24" s="12"/>
      <c r="Y24" s="12"/>
      <c r="Z24" s="12">
        <v>0.7</v>
      </c>
      <c r="AA24" s="12"/>
      <c r="AB24" s="12"/>
      <c r="AC24" s="12"/>
      <c r="AD24" s="12"/>
      <c r="AE24" s="12"/>
      <c r="AF24" s="12">
        <v>0.6</v>
      </c>
      <c r="AG24" s="12"/>
      <c r="AH24" s="12"/>
      <c r="AI24" s="12"/>
      <c r="AJ24" s="12"/>
      <c r="AK24" s="12"/>
      <c r="AL24" s="12">
        <v>0.5</v>
      </c>
      <c r="AM24" s="12"/>
      <c r="AN24" s="12"/>
      <c r="AO24" s="12"/>
      <c r="AP24" s="12"/>
      <c r="AQ24" s="12"/>
      <c r="AR24" s="12">
        <v>0.4</v>
      </c>
      <c r="AS24" s="12"/>
      <c r="AT24" s="12"/>
      <c r="AU24" s="12"/>
      <c r="AV24" s="12"/>
      <c r="AW24" s="12"/>
      <c r="AX24" s="12">
        <v>0.3</v>
      </c>
      <c r="AY24" s="12"/>
      <c r="AZ24" s="12"/>
      <c r="BA24" s="12"/>
      <c r="BB24" s="12"/>
      <c r="BC24" s="12"/>
      <c r="BD24" s="12">
        <v>0.2</v>
      </c>
      <c r="BE24" s="12"/>
      <c r="BF24" s="12"/>
      <c r="BG24" s="12"/>
      <c r="BH24" s="12"/>
      <c r="BI24" s="12"/>
      <c r="BJ24" s="12">
        <v>0.1</v>
      </c>
      <c r="BK24" s="12"/>
      <c r="BL24" s="12"/>
      <c r="BM24" s="12"/>
      <c r="BN24" s="12"/>
      <c r="BO24" s="12"/>
      <c r="BP24" s="12"/>
      <c r="BQ24" s="12"/>
      <c r="BR24" s="12"/>
      <c r="BS24" s="12"/>
      <c r="BT24" s="12"/>
      <c r="BU24" s="12"/>
      <c r="BV24" s="12"/>
      <c r="BW24" s="12"/>
      <c r="BX24" s="12"/>
      <c r="BY24" s="12"/>
      <c r="BZ24" s="12"/>
    </row>
    <row r="25" spans="1:78" ht="12.75">
      <c r="A25" s="3" t="s">
        <v>27</v>
      </c>
      <c r="B25" s="9">
        <f t="shared" si="5"/>
        <v>92.5</v>
      </c>
      <c r="C25" s="6">
        <f>C21-C22</f>
        <v>-16</v>
      </c>
      <c r="D25" s="6">
        <f aca="true" t="shared" si="14" ref="D25:BO25">D21-D22</f>
        <v>-6</v>
      </c>
      <c r="E25" s="6">
        <f t="shared" si="14"/>
        <v>-6</v>
      </c>
      <c r="F25" s="6">
        <f t="shared" si="14"/>
        <v>-14</v>
      </c>
      <c r="G25" s="6">
        <f t="shared" si="14"/>
        <v>2</v>
      </c>
      <c r="H25" s="6">
        <f t="shared" si="14"/>
        <v>1</v>
      </c>
      <c r="I25" s="6">
        <f t="shared" si="14"/>
        <v>0</v>
      </c>
      <c r="J25" s="6">
        <f t="shared" si="14"/>
        <v>2</v>
      </c>
      <c r="K25" s="6">
        <f t="shared" si="14"/>
        <v>2</v>
      </c>
      <c r="L25" s="6">
        <f t="shared" si="14"/>
        <v>2</v>
      </c>
      <c r="M25" s="6">
        <f t="shared" si="14"/>
        <v>2</v>
      </c>
      <c r="N25" s="6">
        <f t="shared" si="14"/>
        <v>1.1</v>
      </c>
      <c r="O25" s="6">
        <f t="shared" si="14"/>
        <v>0</v>
      </c>
      <c r="P25" s="6">
        <f t="shared" si="14"/>
        <v>2</v>
      </c>
      <c r="Q25" s="6">
        <f t="shared" si="14"/>
        <v>2</v>
      </c>
      <c r="R25" s="6">
        <f t="shared" si="14"/>
        <v>2</v>
      </c>
      <c r="S25" s="6">
        <f t="shared" si="14"/>
        <v>2</v>
      </c>
      <c r="T25" s="6">
        <f t="shared" si="14"/>
        <v>1.2</v>
      </c>
      <c r="U25" s="6">
        <f t="shared" si="14"/>
        <v>0</v>
      </c>
      <c r="V25" s="6">
        <f t="shared" si="14"/>
        <v>2</v>
      </c>
      <c r="W25" s="6">
        <f t="shared" si="14"/>
        <v>2</v>
      </c>
      <c r="X25" s="6">
        <f t="shared" si="14"/>
        <v>2</v>
      </c>
      <c r="Y25" s="6">
        <f t="shared" si="14"/>
        <v>2</v>
      </c>
      <c r="Z25" s="6">
        <f t="shared" si="14"/>
        <v>1.3</v>
      </c>
      <c r="AA25" s="6">
        <f t="shared" si="14"/>
        <v>0</v>
      </c>
      <c r="AB25" s="6">
        <f t="shared" si="14"/>
        <v>2</v>
      </c>
      <c r="AC25" s="6">
        <f t="shared" si="14"/>
        <v>2</v>
      </c>
      <c r="AD25" s="6">
        <f t="shared" si="14"/>
        <v>2</v>
      </c>
      <c r="AE25" s="6">
        <f t="shared" si="14"/>
        <v>2</v>
      </c>
      <c r="AF25" s="6">
        <f t="shared" si="14"/>
        <v>1.4</v>
      </c>
      <c r="AG25" s="6">
        <f t="shared" si="14"/>
        <v>0</v>
      </c>
      <c r="AH25" s="6">
        <f t="shared" si="14"/>
        <v>2</v>
      </c>
      <c r="AI25" s="6">
        <f t="shared" si="14"/>
        <v>2</v>
      </c>
      <c r="AJ25" s="6">
        <f t="shared" si="14"/>
        <v>2</v>
      </c>
      <c r="AK25" s="6">
        <f t="shared" si="14"/>
        <v>2</v>
      </c>
      <c r="AL25" s="6">
        <f t="shared" si="14"/>
        <v>1.5</v>
      </c>
      <c r="AM25" s="6">
        <f t="shared" si="14"/>
        <v>0</v>
      </c>
      <c r="AN25" s="6">
        <f t="shared" si="14"/>
        <v>2</v>
      </c>
      <c r="AO25" s="6">
        <f t="shared" si="14"/>
        <v>2</v>
      </c>
      <c r="AP25" s="6">
        <f t="shared" si="14"/>
        <v>2</v>
      </c>
      <c r="AQ25" s="6">
        <f t="shared" si="14"/>
        <v>2</v>
      </c>
      <c r="AR25" s="6">
        <f t="shared" si="14"/>
        <v>1.6</v>
      </c>
      <c r="AS25" s="6">
        <f t="shared" si="14"/>
        <v>0</v>
      </c>
      <c r="AT25" s="6">
        <f t="shared" si="14"/>
        <v>2</v>
      </c>
      <c r="AU25" s="6">
        <f t="shared" si="14"/>
        <v>2</v>
      </c>
      <c r="AV25" s="6">
        <f t="shared" si="14"/>
        <v>2</v>
      </c>
      <c r="AW25" s="6">
        <f t="shared" si="14"/>
        <v>2</v>
      </c>
      <c r="AX25" s="6">
        <f t="shared" si="14"/>
        <v>1.7</v>
      </c>
      <c r="AY25" s="6">
        <f t="shared" si="14"/>
        <v>0</v>
      </c>
      <c r="AZ25" s="6">
        <f t="shared" si="14"/>
        <v>2</v>
      </c>
      <c r="BA25" s="6">
        <f t="shared" si="14"/>
        <v>2</v>
      </c>
      <c r="BB25" s="6">
        <f t="shared" si="14"/>
        <v>2</v>
      </c>
      <c r="BC25" s="6">
        <f t="shared" si="14"/>
        <v>2</v>
      </c>
      <c r="BD25" s="6">
        <f t="shared" si="14"/>
        <v>1.8</v>
      </c>
      <c r="BE25" s="6">
        <f t="shared" si="14"/>
        <v>0</v>
      </c>
      <c r="BF25" s="6">
        <f t="shared" si="14"/>
        <v>2</v>
      </c>
      <c r="BG25" s="6">
        <f t="shared" si="14"/>
        <v>2</v>
      </c>
      <c r="BH25" s="6">
        <f t="shared" si="14"/>
        <v>2</v>
      </c>
      <c r="BI25" s="6">
        <f t="shared" si="14"/>
        <v>2</v>
      </c>
      <c r="BJ25" s="6">
        <f t="shared" si="14"/>
        <v>1.9</v>
      </c>
      <c r="BK25" s="6">
        <f t="shared" si="14"/>
        <v>2</v>
      </c>
      <c r="BL25" s="6">
        <f t="shared" si="14"/>
        <v>2</v>
      </c>
      <c r="BM25" s="6">
        <f t="shared" si="14"/>
        <v>2</v>
      </c>
      <c r="BN25" s="6">
        <f t="shared" si="14"/>
        <v>2</v>
      </c>
      <c r="BO25" s="6">
        <f t="shared" si="14"/>
        <v>2</v>
      </c>
      <c r="BP25" s="6">
        <f aca="true" t="shared" si="15" ref="BP25:BY25">BP21-BP22</f>
        <v>2</v>
      </c>
      <c r="BQ25" s="6">
        <f t="shared" si="15"/>
        <v>2</v>
      </c>
      <c r="BR25" s="6">
        <f t="shared" si="15"/>
        <v>2</v>
      </c>
      <c r="BS25" s="6">
        <f t="shared" si="15"/>
        <v>2</v>
      </c>
      <c r="BT25" s="6">
        <f t="shared" si="15"/>
        <v>2</v>
      </c>
      <c r="BU25" s="6">
        <f t="shared" si="15"/>
        <v>2</v>
      </c>
      <c r="BV25" s="6">
        <f t="shared" si="15"/>
        <v>2</v>
      </c>
      <c r="BW25" s="6">
        <f t="shared" si="15"/>
        <v>6</v>
      </c>
      <c r="BX25" s="6">
        <f t="shared" si="15"/>
        <v>8</v>
      </c>
      <c r="BY25" s="6">
        <f t="shared" si="15"/>
        <v>8</v>
      </c>
      <c r="BZ25" s="6">
        <f>BZ21-BZ22</f>
        <v>8</v>
      </c>
    </row>
    <row r="27" spans="1:9" ht="12.75">
      <c r="A27" s="2" t="s">
        <v>28</v>
      </c>
      <c r="B27" s="2" t="s">
        <v>1095</v>
      </c>
      <c r="C27" s="14">
        <v>1</v>
      </c>
      <c r="D27" s="14">
        <v>2</v>
      </c>
      <c r="E27" s="14">
        <v>3</v>
      </c>
      <c r="F27" s="14">
        <v>4</v>
      </c>
      <c r="G27" s="14">
        <v>5</v>
      </c>
      <c r="H27" s="14">
        <v>6</v>
      </c>
      <c r="I27" s="14">
        <v>7</v>
      </c>
    </row>
    <row r="28" spans="1:9" ht="12.75">
      <c r="A28" s="3" t="s">
        <v>21</v>
      </c>
      <c r="B28" s="17">
        <f aca="true" t="shared" si="16" ref="B28:B39">SUM(C28:I28)</f>
        <v>852</v>
      </c>
      <c r="C28" s="6">
        <f aca="true" t="shared" si="17" ref="C28:C39">SUMIF($C$12:$BY$12,C$27,$C14:$BY14)</f>
        <v>96</v>
      </c>
      <c r="D28" s="6">
        <f aca="true" t="shared" si="18" ref="D28:H29">SUMIF($C$12:$BY$12,D$27,$C14:$BY14)</f>
        <v>144</v>
      </c>
      <c r="E28" s="6">
        <f t="shared" si="18"/>
        <v>144</v>
      </c>
      <c r="F28" s="6">
        <f t="shared" si="18"/>
        <v>144</v>
      </c>
      <c r="G28" s="6">
        <f t="shared" si="18"/>
        <v>144</v>
      </c>
      <c r="H28" s="6">
        <f t="shared" si="18"/>
        <v>144</v>
      </c>
      <c r="I28" s="6">
        <f>SUMIF($C$12:$BY$12,I$27,$C14:$BY14)</f>
        <v>36</v>
      </c>
    </row>
    <row r="29" spans="1:9" ht="12.75">
      <c r="A29" s="3" t="s">
        <v>22</v>
      </c>
      <c r="B29" s="18">
        <f t="shared" si="16"/>
        <v>724</v>
      </c>
      <c r="C29" s="6">
        <f t="shared" si="17"/>
        <v>110</v>
      </c>
      <c r="D29" s="6">
        <f t="shared" si="18"/>
        <v>120</v>
      </c>
      <c r="E29" s="6">
        <f t="shared" si="18"/>
        <v>120</v>
      </c>
      <c r="F29" s="6">
        <f t="shared" si="18"/>
        <v>120</v>
      </c>
      <c r="G29" s="6">
        <f t="shared" si="18"/>
        <v>120</v>
      </c>
      <c r="H29" s="6">
        <f t="shared" si="18"/>
        <v>120</v>
      </c>
      <c r="I29" s="6">
        <f>SUMIF($C$12:$BY$12,I$27,$C15:$BY15)</f>
        <v>14</v>
      </c>
    </row>
    <row r="30" spans="1:78" s="13" customFormat="1" ht="10.5">
      <c r="A30" s="10" t="s">
        <v>300</v>
      </c>
      <c r="B30" s="11"/>
      <c r="C30" s="12">
        <f t="shared" si="17"/>
        <v>40</v>
      </c>
      <c r="D30" s="12">
        <f aca="true" t="shared" si="19" ref="D30:E32">SUMIF($C$12:$BY$12,D$27,$C16:$BY16)</f>
        <v>48</v>
      </c>
      <c r="E30" s="12">
        <f t="shared" si="19"/>
        <v>48</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row>
    <row r="31" spans="1:78" s="13" customFormat="1" ht="10.5">
      <c r="A31" s="10" t="s">
        <v>242</v>
      </c>
      <c r="B31" s="11"/>
      <c r="C31" s="12">
        <f t="shared" si="17"/>
        <v>22</v>
      </c>
      <c r="D31" s="12">
        <f t="shared" si="19"/>
        <v>24</v>
      </c>
      <c r="E31" s="12">
        <f t="shared" si="19"/>
        <v>24</v>
      </c>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row>
    <row r="32" spans="1:78" s="13" customFormat="1" ht="10.5">
      <c r="A32" s="10" t="s">
        <v>243</v>
      </c>
      <c r="B32" s="11"/>
      <c r="C32" s="12">
        <f t="shared" si="17"/>
        <v>48</v>
      </c>
      <c r="D32" s="12">
        <f t="shared" si="19"/>
        <v>48</v>
      </c>
      <c r="E32" s="12">
        <f t="shared" si="19"/>
        <v>48</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row>
    <row r="33" spans="1:9" ht="12.75">
      <c r="A33" s="2" t="s">
        <v>23</v>
      </c>
      <c r="B33" s="18">
        <f t="shared" si="16"/>
        <v>128</v>
      </c>
      <c r="C33" s="6">
        <f t="shared" si="17"/>
        <v>-14</v>
      </c>
      <c r="D33" s="6">
        <f aca="true" t="shared" si="20" ref="D33:I36">SUMIF($C$12:$BY$12,D$27,$C19:$BY19)</f>
        <v>24</v>
      </c>
      <c r="E33" s="6">
        <f t="shared" si="20"/>
        <v>24</v>
      </c>
      <c r="F33" s="6">
        <f t="shared" si="20"/>
        <v>24</v>
      </c>
      <c r="G33" s="6">
        <f t="shared" si="20"/>
        <v>24</v>
      </c>
      <c r="H33" s="6">
        <f t="shared" si="20"/>
        <v>24</v>
      </c>
      <c r="I33" s="6">
        <f t="shared" si="20"/>
        <v>22</v>
      </c>
    </row>
    <row r="34" spans="1:9" ht="12.75">
      <c r="A34" s="3" t="s">
        <v>24</v>
      </c>
      <c r="B34" s="18">
        <f t="shared" si="16"/>
        <v>-30</v>
      </c>
      <c r="C34" s="6">
        <f t="shared" si="17"/>
        <v>-30</v>
      </c>
      <c r="D34" s="6">
        <f t="shared" si="20"/>
        <v>0</v>
      </c>
      <c r="E34" s="6">
        <f t="shared" si="20"/>
        <v>0</v>
      </c>
      <c r="F34" s="6">
        <f t="shared" si="20"/>
        <v>0</v>
      </c>
      <c r="G34" s="6">
        <f t="shared" si="20"/>
        <v>0</v>
      </c>
      <c r="H34" s="6">
        <f t="shared" si="20"/>
        <v>0</v>
      </c>
      <c r="I34" s="6">
        <f t="shared" si="20"/>
        <v>0</v>
      </c>
    </row>
    <row r="35" spans="1:9" ht="12.75">
      <c r="A35" s="2" t="s">
        <v>25</v>
      </c>
      <c r="B35" s="18">
        <f t="shared" si="16"/>
        <v>98</v>
      </c>
      <c r="C35" s="6">
        <f t="shared" si="17"/>
        <v>-44</v>
      </c>
      <c r="D35" s="6">
        <f t="shared" si="20"/>
        <v>24</v>
      </c>
      <c r="E35" s="6">
        <f t="shared" si="20"/>
        <v>24</v>
      </c>
      <c r="F35" s="6">
        <f t="shared" si="20"/>
        <v>24</v>
      </c>
      <c r="G35" s="6">
        <f t="shared" si="20"/>
        <v>24</v>
      </c>
      <c r="H35" s="6">
        <f t="shared" si="20"/>
        <v>24</v>
      </c>
      <c r="I35" s="6">
        <f t="shared" si="20"/>
        <v>22</v>
      </c>
    </row>
    <row r="36" spans="1:9" ht="12.75">
      <c r="A36" s="3" t="s">
        <v>26</v>
      </c>
      <c r="B36" s="18">
        <f t="shared" si="16"/>
        <v>5.5</v>
      </c>
      <c r="C36" s="6">
        <f t="shared" si="17"/>
        <v>-14.1</v>
      </c>
      <c r="D36" s="6">
        <f t="shared" si="20"/>
        <v>5.5</v>
      </c>
      <c r="E36" s="6">
        <f t="shared" si="20"/>
        <v>5.1</v>
      </c>
      <c r="F36" s="6">
        <f t="shared" si="20"/>
        <v>4.7</v>
      </c>
      <c r="G36" s="6">
        <f t="shared" si="20"/>
        <v>4.3</v>
      </c>
      <c r="H36" s="6">
        <f t="shared" si="20"/>
        <v>0</v>
      </c>
      <c r="I36" s="6">
        <f t="shared" si="20"/>
        <v>0</v>
      </c>
    </row>
    <row r="37" spans="1:78" s="13" customFormat="1" ht="10.5">
      <c r="A37" s="10" t="s">
        <v>178</v>
      </c>
      <c r="B37" s="11"/>
      <c r="C37" s="12">
        <f t="shared" si="17"/>
        <v>-16</v>
      </c>
      <c r="D37" s="12">
        <f aca="true" t="shared" si="21" ref="D37:E39">SUMIF($C$12:$BY$12,D$27,$C23:$BY23)</f>
        <v>4</v>
      </c>
      <c r="E37" s="12">
        <f t="shared" si="21"/>
        <v>4</v>
      </c>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13" customFormat="1" ht="10.5">
      <c r="A38" s="10" t="s">
        <v>29</v>
      </c>
      <c r="B38" s="11"/>
      <c r="C38" s="12">
        <f t="shared" si="17"/>
        <v>1.9</v>
      </c>
      <c r="D38" s="12">
        <f t="shared" si="21"/>
        <v>1.5</v>
      </c>
      <c r="E38" s="12">
        <f t="shared" si="21"/>
        <v>1.1</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row>
    <row r="39" spans="1:9" ht="12.75">
      <c r="A39" s="3" t="s">
        <v>27</v>
      </c>
      <c r="B39" s="19">
        <f t="shared" si="16"/>
        <v>92.5</v>
      </c>
      <c r="C39" s="6">
        <f t="shared" si="17"/>
        <v>-29.9</v>
      </c>
      <c r="D39" s="6">
        <f t="shared" si="21"/>
        <v>18.5</v>
      </c>
      <c r="E39" s="6">
        <f t="shared" si="21"/>
        <v>18.9</v>
      </c>
      <c r="F39" s="6">
        <f>SUMIF($C$12:$BY$12,F$27,$C25:$BY25)</f>
        <v>19.3</v>
      </c>
      <c r="G39" s="6">
        <f>SUMIF($C$12:$BY$12,G$27,$C25:$BY25)</f>
        <v>19.7</v>
      </c>
      <c r="H39" s="6">
        <f>SUMIF($C$12:$BY$12,H$27,$C25:$BY25)</f>
        <v>24</v>
      </c>
      <c r="I39" s="6">
        <f>SUMIF($C$12:$BY$12,I$27,$C25:$BY25)</f>
        <v>22</v>
      </c>
    </row>
  </sheetData>
  <printOptions/>
  <pageMargins left="0.7874015748031497" right="0.7874015748031497" top="0.984251968503937" bottom="0.984251968503937" header="0.5118110236220472" footer="0.5118110236220472"/>
  <pageSetup fitToHeight="4" fitToWidth="1" horizontalDpi="200" verticalDpi="200" orientation="landscape" paperSize="9" scale="90" r:id="rId1"/>
  <headerFooter alignWithMargins="0">
    <oddFooter>&amp;L&amp;"Verdana,Italique"&amp;9&amp;F - &amp;A&amp;C&amp;P / &amp;N&amp;R&amp;"Verdana,Italique"&amp;9&amp;D - &amp;T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62"/>
  <sheetViews>
    <sheetView showGridLines="0" zoomScale="75" zoomScaleNormal="75" workbookViewId="0" topLeftCell="A1">
      <selection activeCell="A1" sqref="A1"/>
    </sheetView>
  </sheetViews>
  <sheetFormatPr defaultColWidth="11.00390625" defaultRowHeight="12.75"/>
  <cols>
    <col min="1" max="1" width="29.25390625" style="0" bestFit="1" customWidth="1"/>
  </cols>
  <sheetData>
    <row r="1" ht="14.25">
      <c r="A1" s="41" t="s">
        <v>370</v>
      </c>
    </row>
    <row r="2" spans="2:6" ht="12.75">
      <c r="B2" s="4">
        <v>2001</v>
      </c>
      <c r="C2" s="4">
        <v>2002</v>
      </c>
      <c r="D2" s="4">
        <v>2003</v>
      </c>
      <c r="E2" s="4">
        <v>2004</v>
      </c>
      <c r="F2" s="4">
        <v>2005</v>
      </c>
    </row>
    <row r="3" spans="1:6" ht="12.75">
      <c r="A3" t="s">
        <v>1097</v>
      </c>
      <c r="B3" s="68">
        <v>100</v>
      </c>
      <c r="C3" s="68">
        <v>110</v>
      </c>
      <c r="D3" s="68">
        <v>120</v>
      </c>
      <c r="E3" s="68">
        <v>130</v>
      </c>
      <c r="F3" s="68">
        <v>140</v>
      </c>
    </row>
    <row r="4" spans="1:6" ht="12.75">
      <c r="A4" t="s">
        <v>431</v>
      </c>
      <c r="B4" s="68">
        <v>200</v>
      </c>
      <c r="C4" s="68">
        <v>225</v>
      </c>
      <c r="D4" s="68">
        <v>250</v>
      </c>
      <c r="E4" s="68">
        <v>280</v>
      </c>
      <c r="F4" s="68">
        <v>315</v>
      </c>
    </row>
    <row r="5" spans="1:6" ht="12.75">
      <c r="A5" t="s">
        <v>183</v>
      </c>
      <c r="B5" s="68">
        <v>38</v>
      </c>
      <c r="C5" s="68">
        <v>40</v>
      </c>
      <c r="D5" s="68">
        <v>44</v>
      </c>
      <c r="E5" s="68">
        <v>48</v>
      </c>
      <c r="F5" s="68">
        <v>52</v>
      </c>
    </row>
    <row r="6" spans="1:6" ht="12.75">
      <c r="A6" t="s">
        <v>184</v>
      </c>
      <c r="B6" s="68">
        <v>10</v>
      </c>
      <c r="C6" s="68">
        <v>10</v>
      </c>
      <c r="D6" s="68">
        <v>11</v>
      </c>
      <c r="E6" s="68">
        <v>12</v>
      </c>
      <c r="F6" s="68">
        <v>13</v>
      </c>
    </row>
    <row r="7" spans="1:6" ht="12.75">
      <c r="A7" t="s">
        <v>365</v>
      </c>
      <c r="B7" s="68">
        <v>14</v>
      </c>
      <c r="C7" s="68">
        <v>15</v>
      </c>
      <c r="D7" s="68">
        <v>17</v>
      </c>
      <c r="E7" s="68">
        <v>19</v>
      </c>
      <c r="F7" s="68">
        <v>22</v>
      </c>
    </row>
    <row r="8" spans="1:6" ht="12.75">
      <c r="A8" t="s">
        <v>1098</v>
      </c>
      <c r="B8" s="68">
        <v>7</v>
      </c>
      <c r="C8" s="68">
        <v>7.5</v>
      </c>
      <c r="D8" s="68">
        <v>8</v>
      </c>
      <c r="E8" s="68">
        <v>8</v>
      </c>
      <c r="F8" s="68">
        <v>8.5</v>
      </c>
    </row>
    <row r="9" spans="1:6" ht="12.75">
      <c r="A9" t="s">
        <v>209</v>
      </c>
      <c r="B9" s="68">
        <v>5</v>
      </c>
      <c r="C9" s="68">
        <v>5</v>
      </c>
      <c r="D9" s="68">
        <v>5</v>
      </c>
      <c r="E9" s="68">
        <v>6</v>
      </c>
      <c r="F9" s="68">
        <v>6</v>
      </c>
    </row>
    <row r="11" spans="1:6" ht="12.75">
      <c r="A11" s="1" t="s">
        <v>265</v>
      </c>
      <c r="C11" s="4">
        <f>C2</f>
        <v>2002</v>
      </c>
      <c r="D11" s="4">
        <f>D2</f>
        <v>2003</v>
      </c>
      <c r="E11" s="4">
        <f>E2</f>
        <v>2004</v>
      </c>
      <c r="F11" s="4">
        <f>F2</f>
        <v>2005</v>
      </c>
    </row>
    <row r="12" spans="1:6" s="66" customFormat="1" ht="12.75">
      <c r="A12" s="66" t="s">
        <v>1099</v>
      </c>
      <c r="C12" s="68">
        <f>C5-C7-C8</f>
        <v>17.5</v>
      </c>
      <c r="D12" s="68">
        <f>D5-D7-D8</f>
        <v>19</v>
      </c>
      <c r="E12" s="68">
        <f>E5-E7-E8</f>
        <v>21</v>
      </c>
      <c r="F12" s="68">
        <f>F5-F7-F8</f>
        <v>21.5</v>
      </c>
    </row>
    <row r="13" spans="1:6" s="66" customFormat="1" ht="12.75">
      <c r="A13" s="48" t="s">
        <v>1100</v>
      </c>
      <c r="B13" s="48"/>
      <c r="C13" s="72">
        <f>C4-B4</f>
        <v>25</v>
      </c>
      <c r="D13" s="72">
        <f>D4-C4</f>
        <v>25</v>
      </c>
      <c r="E13" s="72">
        <f>E4-D4</f>
        <v>30</v>
      </c>
      <c r="F13" s="72">
        <f>F4-E4</f>
        <v>35</v>
      </c>
    </row>
    <row r="14" spans="1:6" ht="25.5">
      <c r="A14" s="3" t="s">
        <v>1101</v>
      </c>
      <c r="B14" s="68"/>
      <c r="C14" s="68">
        <f>C12-C13</f>
        <v>-7.5</v>
      </c>
      <c r="D14" s="68">
        <f>D12-D13</f>
        <v>-6</v>
      </c>
      <c r="E14" s="68">
        <f>E12-E13</f>
        <v>-9</v>
      </c>
      <c r="F14" s="68">
        <f>F12-F13</f>
        <v>-13.5</v>
      </c>
    </row>
    <row r="15" spans="1:6" ht="12.75">
      <c r="A15" t="s">
        <v>1102</v>
      </c>
      <c r="B15" s="68"/>
      <c r="C15" s="68">
        <f>C3-B3+C6</f>
        <v>20</v>
      </c>
      <c r="D15" s="68">
        <f>D3-C3+D6</f>
        <v>21</v>
      </c>
      <c r="E15" s="68">
        <f>E3-D3+E6</f>
        <v>22</v>
      </c>
      <c r="F15" s="68">
        <f>F3-E3+F6</f>
        <v>23</v>
      </c>
    </row>
    <row r="16" spans="1:6" ht="12.75">
      <c r="A16" t="s">
        <v>1104</v>
      </c>
      <c r="B16" s="68"/>
      <c r="C16" s="68"/>
      <c r="D16" s="68"/>
      <c r="E16" s="68"/>
      <c r="F16" s="68"/>
    </row>
    <row r="17" spans="1:6" ht="12.75">
      <c r="A17" t="s">
        <v>1105</v>
      </c>
      <c r="B17" s="68"/>
      <c r="C17" s="68">
        <f>B9</f>
        <v>5</v>
      </c>
      <c r="D17" s="68">
        <f>C9</f>
        <v>5</v>
      </c>
      <c r="E17" s="68">
        <f>D9</f>
        <v>5</v>
      </c>
      <c r="F17" s="68">
        <f>E9</f>
        <v>6</v>
      </c>
    </row>
    <row r="18" spans="2:6" ht="12.75">
      <c r="B18" s="68"/>
      <c r="C18" s="68"/>
      <c r="D18" s="68"/>
      <c r="E18" s="68"/>
      <c r="F18" s="68"/>
    </row>
    <row r="19" spans="1:6" ht="25.5">
      <c r="A19" s="3" t="s">
        <v>1106</v>
      </c>
      <c r="B19" s="68"/>
      <c r="C19" s="68">
        <f>C14-C15+C16-C17</f>
        <v>-32.5</v>
      </c>
      <c r="D19" s="68">
        <f>D14-D15+D16-D17</f>
        <v>-32</v>
      </c>
      <c r="E19" s="68">
        <f>E14-E15+E16-E17</f>
        <v>-36</v>
      </c>
      <c r="F19" s="68">
        <f>F14-F15+F16-F17</f>
        <v>-42.5</v>
      </c>
    </row>
    <row r="20" spans="1:6" ht="12.75">
      <c r="A20" s="3"/>
      <c r="B20" s="68"/>
      <c r="C20" s="68"/>
      <c r="D20" s="68"/>
      <c r="E20" s="68"/>
      <c r="F20" s="68"/>
    </row>
    <row r="21" spans="1:6" ht="12.75">
      <c r="A21" s="3"/>
      <c r="B21" s="68"/>
      <c r="C21" s="68"/>
      <c r="D21" s="68"/>
      <c r="E21" s="68"/>
      <c r="F21" s="68"/>
    </row>
    <row r="22" spans="1:6" ht="12.75">
      <c r="A22" s="3"/>
      <c r="B22" s="68"/>
      <c r="C22" s="68"/>
      <c r="D22" s="68"/>
      <c r="E22" s="68"/>
      <c r="F22" s="68"/>
    </row>
    <row r="23" spans="1:6" ht="12.75">
      <c r="A23" s="3"/>
      <c r="B23" s="68"/>
      <c r="C23" s="68"/>
      <c r="D23" s="68"/>
      <c r="E23" s="68"/>
      <c r="F23" s="68"/>
    </row>
    <row r="24" spans="1:6" ht="12.75">
      <c r="A24" s="3"/>
      <c r="B24" s="68"/>
      <c r="C24" s="68"/>
      <c r="D24" s="68"/>
      <c r="E24" s="68"/>
      <c r="F24" s="68"/>
    </row>
    <row r="25" spans="1:6" ht="12.75">
      <c r="A25" s="3"/>
      <c r="B25" s="68"/>
      <c r="C25" s="68"/>
      <c r="D25" s="68"/>
      <c r="E25" s="68"/>
      <c r="F25" s="68"/>
    </row>
    <row r="26" spans="1:6" ht="12.75">
      <c r="A26" s="3"/>
      <c r="B26" s="68"/>
      <c r="C26" s="68"/>
      <c r="D26" s="68"/>
      <c r="E26" s="68"/>
      <c r="F26" s="68"/>
    </row>
    <row r="27" spans="1:6" ht="12.75">
      <c r="A27" s="3"/>
      <c r="B27" s="68"/>
      <c r="C27" s="68"/>
      <c r="D27" s="68"/>
      <c r="E27" s="68"/>
      <c r="F27" s="68"/>
    </row>
    <row r="28" spans="1:6" ht="12.75">
      <c r="A28" s="3"/>
      <c r="B28" s="68"/>
      <c r="C28" s="68"/>
      <c r="D28" s="68"/>
      <c r="E28" s="68"/>
      <c r="F28" s="68"/>
    </row>
    <row r="29" spans="1:6" ht="12.75">
      <c r="A29" s="3"/>
      <c r="B29" s="68"/>
      <c r="C29" s="68"/>
      <c r="D29" s="68"/>
      <c r="E29" s="68"/>
      <c r="F29" s="68"/>
    </row>
    <row r="30" spans="1:6" ht="12.75">
      <c r="A30" s="3"/>
      <c r="B30" s="68"/>
      <c r="C30" s="68"/>
      <c r="D30" s="68"/>
      <c r="E30" s="68"/>
      <c r="F30" s="68"/>
    </row>
    <row r="31" spans="1:6" ht="12.75">
      <c r="A31" s="3"/>
      <c r="B31" s="68"/>
      <c r="C31" s="68"/>
      <c r="D31" s="68"/>
      <c r="E31" s="68"/>
      <c r="F31" s="68"/>
    </row>
    <row r="32" spans="1:6" ht="12.75">
      <c r="A32" s="3"/>
      <c r="B32" s="68"/>
      <c r="C32" s="68"/>
      <c r="D32" s="68"/>
      <c r="E32" s="68"/>
      <c r="F32" s="68"/>
    </row>
    <row r="33" spans="1:6" ht="12.75">
      <c r="A33" s="3"/>
      <c r="B33" s="68"/>
      <c r="C33" s="68"/>
      <c r="D33" s="68"/>
      <c r="E33" s="68"/>
      <c r="F33" s="68"/>
    </row>
    <row r="34" spans="1:6" ht="12.75">
      <c r="A34" s="3"/>
      <c r="B34" s="68"/>
      <c r="C34" s="68"/>
      <c r="D34" s="68"/>
      <c r="E34" s="68"/>
      <c r="F34" s="68"/>
    </row>
    <row r="35" spans="1:6" ht="12.75">
      <c r="A35" s="3"/>
      <c r="B35" s="68"/>
      <c r="C35" s="68"/>
      <c r="D35" s="68"/>
      <c r="E35" s="68"/>
      <c r="F35" s="68"/>
    </row>
    <row r="36" spans="1:6" ht="12.75">
      <c r="A36" s="3"/>
      <c r="B36" s="68"/>
      <c r="C36" s="68"/>
      <c r="D36" s="68"/>
      <c r="E36" s="68"/>
      <c r="F36" s="68"/>
    </row>
    <row r="37" spans="1:6" ht="12.75">
      <c r="A37" s="3"/>
      <c r="B37" s="68"/>
      <c r="C37" s="68"/>
      <c r="D37" s="68"/>
      <c r="E37" s="68"/>
      <c r="F37" s="68"/>
    </row>
    <row r="38" spans="1:6" ht="12.75">
      <c r="A38" s="3"/>
      <c r="B38" s="68"/>
      <c r="C38" s="68"/>
      <c r="D38" s="68"/>
      <c r="E38" s="68"/>
      <c r="F38" s="68"/>
    </row>
    <row r="39" spans="1:6" ht="12.75">
      <c r="A39" s="3"/>
      <c r="B39" s="68"/>
      <c r="C39" s="68"/>
      <c r="D39" s="68"/>
      <c r="E39" s="68"/>
      <c r="F39" s="68"/>
    </row>
    <row r="40" spans="1:6" ht="12.75">
      <c r="A40" s="3"/>
      <c r="B40" s="68"/>
      <c r="C40" s="68"/>
      <c r="D40" s="68"/>
      <c r="E40" s="68"/>
      <c r="F40" s="68"/>
    </row>
    <row r="41" spans="1:6" ht="12.75">
      <c r="A41" s="3"/>
      <c r="B41" s="68"/>
      <c r="C41" s="68"/>
      <c r="D41" s="68"/>
      <c r="E41" s="68"/>
      <c r="F41" s="68"/>
    </row>
    <row r="42" spans="1:6" ht="12.75">
      <c r="A42" s="3"/>
      <c r="B42" s="68"/>
      <c r="C42" s="68"/>
      <c r="D42" s="68"/>
      <c r="E42" s="68"/>
      <c r="F42" s="68"/>
    </row>
    <row r="44" ht="14.25">
      <c r="A44" s="20"/>
    </row>
    <row r="45" spans="2:3" ht="12.75">
      <c r="B45" s="4"/>
      <c r="C45" s="4"/>
    </row>
    <row r="46" ht="12.75">
      <c r="A46" s="3"/>
    </row>
    <row r="47" ht="12.75">
      <c r="A47" s="3"/>
    </row>
    <row r="48" ht="12.75">
      <c r="A48" s="3"/>
    </row>
    <row r="49" ht="12.75">
      <c r="A49" s="3"/>
    </row>
    <row r="50" ht="12.75">
      <c r="A50" s="3"/>
    </row>
    <row r="51" ht="12.75">
      <c r="A51" s="3"/>
    </row>
    <row r="52" ht="12.75">
      <c r="A52" s="3"/>
    </row>
    <row r="53" ht="12.75">
      <c r="A53" s="3"/>
    </row>
    <row r="54" ht="12.75">
      <c r="A54" s="3"/>
    </row>
    <row r="56" ht="12.75">
      <c r="A56" s="3"/>
    </row>
    <row r="60" ht="12.75">
      <c r="A60" s="3"/>
    </row>
    <row r="62" spans="1:3" ht="12.75">
      <c r="A62" s="3"/>
      <c r="B62" s="81"/>
      <c r="C62" s="81"/>
    </row>
  </sheetData>
  <printOptions/>
  <pageMargins left="0.7874015748031497" right="0.7874015748031497" top="0.984251968503937" bottom="0.984251968503937" header="0.5118110236220472" footer="0.5118110236220472"/>
  <pageSetup fitToHeight="2" fitToWidth="1" horizontalDpi="200" verticalDpi="200" orientation="landscape" paperSize="9" r:id="rId1"/>
  <headerFooter alignWithMargins="0">
    <oddFooter>&amp;L&amp;"Verdana,Italique"&amp;9&amp;F - &amp;A&amp;C&amp;P / &amp;N&amp;R&amp;"Verdana,Italique"&amp;9&amp;D - &amp;T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111"/>
  <sheetViews>
    <sheetView showGridLines="0" zoomScale="75" zoomScaleNormal="75" workbookViewId="0" topLeftCell="A1">
      <selection activeCell="A1" sqref="A1"/>
    </sheetView>
  </sheetViews>
  <sheetFormatPr defaultColWidth="11.00390625" defaultRowHeight="12.75"/>
  <cols>
    <col min="1" max="1" width="44.625" style="0" bestFit="1" customWidth="1"/>
    <col min="4" max="4" width="25.375" style="0" bestFit="1" customWidth="1"/>
  </cols>
  <sheetData>
    <row r="1" ht="14.25">
      <c r="A1" s="41" t="s">
        <v>370</v>
      </c>
    </row>
    <row r="3" ht="12.75">
      <c r="A3" t="s">
        <v>1107</v>
      </c>
    </row>
    <row r="5" ht="14.25">
      <c r="A5" s="41" t="s">
        <v>1108</v>
      </c>
    </row>
    <row r="7" spans="1:2" ht="12.75">
      <c r="A7" t="s">
        <v>1109</v>
      </c>
      <c r="B7" s="47">
        <v>0.03</v>
      </c>
    </row>
    <row r="8" spans="1:2" ht="12.75">
      <c r="A8" t="s">
        <v>1111</v>
      </c>
      <c r="B8" s="47">
        <v>0.05</v>
      </c>
    </row>
    <row r="9" spans="1:2" ht="12.75">
      <c r="A9" t="s">
        <v>232</v>
      </c>
      <c r="B9" s="47">
        <v>0.4</v>
      </c>
    </row>
    <row r="10" spans="1:2" ht="12.75">
      <c r="A10" t="s">
        <v>1112</v>
      </c>
      <c r="B10" s="68">
        <v>1000</v>
      </c>
    </row>
    <row r="12" spans="1:2" ht="12.75">
      <c r="A12" t="s">
        <v>1110</v>
      </c>
      <c r="B12" s="47">
        <v>0.2</v>
      </c>
    </row>
    <row r="13" ht="12.75">
      <c r="B13" s="47"/>
    </row>
    <row r="14" ht="12.75">
      <c r="A14" s="1" t="s">
        <v>1114</v>
      </c>
    </row>
    <row r="15" spans="1:2" ht="12.75">
      <c r="A15" s="85" t="s">
        <v>1113</v>
      </c>
      <c r="B15" s="86">
        <v>250</v>
      </c>
    </row>
    <row r="17" spans="1:2" ht="12.75">
      <c r="A17" t="s">
        <v>1112</v>
      </c>
      <c r="B17" s="68">
        <f>B10</f>
        <v>1000</v>
      </c>
    </row>
    <row r="18" spans="1:2" ht="12.75">
      <c r="A18" t="s">
        <v>1115</v>
      </c>
      <c r="B18" s="68">
        <f>B17-B19</f>
        <v>750</v>
      </c>
    </row>
    <row r="19" spans="1:2" ht="12.75">
      <c r="A19" t="s">
        <v>315</v>
      </c>
      <c r="B19" s="68">
        <f>B15</f>
        <v>250</v>
      </c>
    </row>
    <row r="20" spans="1:2" ht="12.75">
      <c r="A20" t="s">
        <v>238</v>
      </c>
      <c r="B20" s="68">
        <f>B12*B19/B7</f>
        <v>1666.6666666666667</v>
      </c>
    </row>
    <row r="21" spans="1:2" ht="12.75">
      <c r="A21" t="s">
        <v>1116</v>
      </c>
      <c r="B21" s="68">
        <f>SUM(B22:B24)</f>
        <v>120.83333333333334</v>
      </c>
    </row>
    <row r="22" spans="1:2" ht="12.75">
      <c r="A22" t="s">
        <v>1117</v>
      </c>
      <c r="B22" s="68">
        <f>B18*B8</f>
        <v>37.5</v>
      </c>
    </row>
    <row r="23" spans="1:2" ht="12.75">
      <c r="A23" t="s">
        <v>206</v>
      </c>
      <c r="B23" s="68">
        <f>B24/(1-B9)*B9</f>
        <v>33.333333333333336</v>
      </c>
    </row>
    <row r="24" spans="1:2" ht="12.75">
      <c r="A24" t="s">
        <v>266</v>
      </c>
      <c r="B24" s="68">
        <f>B20*B7</f>
        <v>50</v>
      </c>
    </row>
    <row r="26" spans="1:5" ht="18">
      <c r="A26" s="41" t="s">
        <v>1118</v>
      </c>
      <c r="C26" s="229"/>
      <c r="D26" s="229"/>
      <c r="E26" s="229"/>
    </row>
    <row r="27" spans="1:6" ht="12.75">
      <c r="A27" s="4" t="s">
        <v>549</v>
      </c>
      <c r="B27" s="4">
        <v>1</v>
      </c>
      <c r="C27" s="4">
        <v>2</v>
      </c>
      <c r="D27" s="4">
        <v>3</v>
      </c>
      <c r="E27" s="4">
        <v>4</v>
      </c>
      <c r="F27" s="4">
        <v>5</v>
      </c>
    </row>
    <row r="28" spans="1:6" ht="12.75">
      <c r="A28" t="s">
        <v>315</v>
      </c>
      <c r="B28" s="68">
        <v>100</v>
      </c>
      <c r="C28" s="68">
        <v>115</v>
      </c>
      <c r="D28" s="68">
        <v>320</v>
      </c>
      <c r="E28" s="68">
        <v>300</v>
      </c>
      <c r="F28" s="68">
        <v>240</v>
      </c>
    </row>
    <row r="29" spans="1:6" ht="12.75">
      <c r="A29" t="s">
        <v>1115</v>
      </c>
      <c r="B29" s="68">
        <v>123</v>
      </c>
      <c r="C29" s="68">
        <v>180</v>
      </c>
      <c r="D29" s="68">
        <v>540</v>
      </c>
      <c r="E29" s="68">
        <v>640</v>
      </c>
      <c r="F29" s="68">
        <v>680</v>
      </c>
    </row>
    <row r="30" spans="1:6" ht="12.75">
      <c r="A30" t="s">
        <v>1142</v>
      </c>
      <c r="B30" s="68">
        <v>11</v>
      </c>
      <c r="C30" s="68">
        <v>18.5</v>
      </c>
      <c r="D30" s="68">
        <v>29</v>
      </c>
      <c r="E30" s="68">
        <v>63</v>
      </c>
      <c r="F30" s="68">
        <v>83</v>
      </c>
    </row>
    <row r="31" spans="1:6" ht="12.75">
      <c r="A31" t="s">
        <v>266</v>
      </c>
      <c r="B31" s="68">
        <v>14</v>
      </c>
      <c r="C31" s="68">
        <v>16</v>
      </c>
      <c r="D31" s="68">
        <v>-20</v>
      </c>
      <c r="E31" s="68">
        <v>-60</v>
      </c>
      <c r="F31" s="68">
        <v>-40</v>
      </c>
    </row>
    <row r="33" spans="1:6" ht="12.75">
      <c r="A33" t="s">
        <v>232</v>
      </c>
      <c r="B33" s="47">
        <v>0.35</v>
      </c>
      <c r="C33" s="47">
        <f>B33</f>
        <v>0.35</v>
      </c>
      <c r="D33" s="47">
        <f>C33</f>
        <v>0.35</v>
      </c>
      <c r="E33" s="47">
        <f>D33</f>
        <v>0.35</v>
      </c>
      <c r="F33" s="47">
        <f>E33</f>
        <v>0.35</v>
      </c>
    </row>
    <row r="35" spans="1:6" ht="12.75">
      <c r="A35" t="s">
        <v>375</v>
      </c>
      <c r="B35" s="75">
        <f>IF(B31&gt;0,B31*B33/(1-B33),0)</f>
        <v>7.538461538461537</v>
      </c>
      <c r="C35" s="75">
        <f>IF(C31&gt;0,C31*C33/(1-C33),0)</f>
        <v>8.615384615384615</v>
      </c>
      <c r="D35">
        <f>IF(D31&gt;0,D31*D33/(1-D33),0)</f>
        <v>0</v>
      </c>
      <c r="E35">
        <f>IF(E31&gt;0,E31*E33/(1-E33),0)</f>
        <v>0</v>
      </c>
      <c r="F35">
        <f>IF(F31&gt;0,F31*F33/(1-F33),0)</f>
        <v>0</v>
      </c>
    </row>
    <row r="36" spans="1:6" ht="12.75">
      <c r="A36" t="s">
        <v>1116</v>
      </c>
      <c r="B36" s="75">
        <f>B31+B30+B35</f>
        <v>32.53846153846154</v>
      </c>
      <c r="C36" s="75">
        <f>C31+C30+C35</f>
        <v>43.11538461538461</v>
      </c>
      <c r="D36" s="75">
        <f>D31+D30+D35</f>
        <v>9</v>
      </c>
      <c r="E36" s="75">
        <f>E31+E30+E35</f>
        <v>3</v>
      </c>
      <c r="F36" s="75">
        <f>F31+F30+F35</f>
        <v>43</v>
      </c>
    </row>
    <row r="38" spans="1:6" ht="12.75">
      <c r="A38" t="s">
        <v>1155</v>
      </c>
      <c r="B38" s="83">
        <f>B36*(1-B33)/(B28+B29)</f>
        <v>0.09484304932735427</v>
      </c>
      <c r="C38" s="83">
        <f>C36*(1-C33)/(C28+C29)</f>
        <v>0.095</v>
      </c>
      <c r="D38" s="83">
        <f>D36*(1-D33)/(D28+D29)</f>
        <v>0.006802325581395349</v>
      </c>
      <c r="E38" s="83">
        <f>E36*(1-E33)/(E28+E29)</f>
        <v>0.002074468085106383</v>
      </c>
      <c r="F38" s="83">
        <f>F36*(1-F33)/(F28+F29)</f>
        <v>0.030380434782608694</v>
      </c>
    </row>
    <row r="39" spans="1:6" ht="12.75">
      <c r="A39" t="s">
        <v>1154</v>
      </c>
      <c r="B39" s="83">
        <f>IF(B30&lt;B36,B30/B29*(1-B33),B36/B29*(1-B33)+(B30-B36)/B29)</f>
        <v>0.058130081300813014</v>
      </c>
      <c r="C39" s="83">
        <f>IF(C30&lt;C36,C30/C29*(1-C33),C36/C29*(1-C33)+(C30-C36)/C29)</f>
        <v>0.06680555555555555</v>
      </c>
      <c r="D39" s="83">
        <f>IF(D30&lt;D36,D30/D29*(1-D33),D36/D29*(1-D33)+(D30-D36)/D29)</f>
        <v>0.04787037037037037</v>
      </c>
      <c r="E39" s="83">
        <f>IF(E30&lt;E36,E30/E29*(1-E33),E36/E29*(1-E33)+(E30-E36)/E29)</f>
        <v>0.096796875</v>
      </c>
      <c r="F39" s="83">
        <f>IF(F30&lt;F36,F30/F29*(1-F33),F36/F29*(1-F33)+(F30-F36)/F29)</f>
        <v>0.09992647058823528</v>
      </c>
    </row>
    <row r="40" spans="1:6" ht="12.75">
      <c r="A40" s="337" t="s">
        <v>1153</v>
      </c>
      <c r="B40" s="89">
        <f>B29/B28</f>
        <v>1.23</v>
      </c>
      <c r="C40" s="89">
        <f>C29/C28</f>
        <v>1.565217391304348</v>
      </c>
      <c r="D40" s="89">
        <f>D29/D28</f>
        <v>1.6875</v>
      </c>
      <c r="E40" s="89">
        <f>E29/E28</f>
        <v>2.1333333333333333</v>
      </c>
      <c r="F40" s="89">
        <f>F29/F28</f>
        <v>2.8333333333333335</v>
      </c>
    </row>
    <row r="41" spans="1:6" ht="12.75">
      <c r="A41" s="1" t="s">
        <v>1119</v>
      </c>
      <c r="B41" s="88">
        <f>(B38-B39)*B40</f>
        <v>0.04515695067264574</v>
      </c>
      <c r="C41" s="88">
        <f>(C38-C39)*C40</f>
        <v>0.04413043478260871</v>
      </c>
      <c r="D41" s="88">
        <f>(D38-D39)*D40</f>
        <v>-0.06930232558139535</v>
      </c>
      <c r="E41" s="88">
        <f>(E38-E39)*E40</f>
        <v>-0.20207446808510637</v>
      </c>
      <c r="F41" s="88">
        <f>(F38-F39)*F40</f>
        <v>-0.19704710144927534</v>
      </c>
    </row>
    <row r="42" spans="2:6" ht="12.75">
      <c r="B42" s="87"/>
      <c r="C42" s="87"/>
      <c r="D42" s="87"/>
      <c r="E42" s="87"/>
      <c r="F42" s="87"/>
    </row>
    <row r="43" spans="1:6" ht="12.75">
      <c r="A43" t="s">
        <v>1110</v>
      </c>
      <c r="B43" s="83">
        <f>B38+B41</f>
        <v>0.14</v>
      </c>
      <c r="C43" s="83">
        <f>C38+C41</f>
        <v>0.13913043478260873</v>
      </c>
      <c r="D43" s="83">
        <f>D38+D41</f>
        <v>-0.0625</v>
      </c>
      <c r="E43" s="83">
        <f>E38+E41</f>
        <v>-0.19999999999999998</v>
      </c>
      <c r="F43" s="83">
        <f>F38+F41</f>
        <v>-0.16666666666666666</v>
      </c>
    </row>
    <row r="45" spans="1:2" ht="18">
      <c r="A45" s="41" t="s">
        <v>1120</v>
      </c>
      <c r="B45" s="229"/>
    </row>
    <row r="46" spans="1:2" ht="12.75">
      <c r="A46" s="1" t="s">
        <v>1121</v>
      </c>
      <c r="B46" s="350">
        <v>2003</v>
      </c>
    </row>
    <row r="47" spans="1:2" ht="12.75">
      <c r="A47" s="90" t="s">
        <v>1136</v>
      </c>
      <c r="B47" s="348">
        <v>6267</v>
      </c>
    </row>
    <row r="48" spans="1:2" ht="12.75">
      <c r="A48" s="351" t="s">
        <v>1137</v>
      </c>
      <c r="B48" s="237">
        <v>-3453</v>
      </c>
    </row>
    <row r="49" spans="1:2" ht="12.75">
      <c r="A49" s="56" t="s">
        <v>1138</v>
      </c>
      <c r="B49" s="237">
        <f>B47+B48</f>
        <v>2814</v>
      </c>
    </row>
    <row r="50" spans="1:2" ht="12.75">
      <c r="A50" s="351" t="s">
        <v>1139</v>
      </c>
      <c r="B50" s="237">
        <v>-2228</v>
      </c>
    </row>
    <row r="51" spans="1:2" ht="12.75">
      <c r="A51" s="56" t="s">
        <v>183</v>
      </c>
      <c r="B51" s="237">
        <f>B49+B50</f>
        <v>586</v>
      </c>
    </row>
    <row r="52" spans="1:2" ht="12.75">
      <c r="A52" s="351" t="s">
        <v>1140</v>
      </c>
      <c r="B52" s="237">
        <v>-96</v>
      </c>
    </row>
    <row r="53" spans="1:2" ht="12.75">
      <c r="A53" s="90" t="s">
        <v>201</v>
      </c>
      <c r="B53" s="348">
        <f>B51+B52</f>
        <v>490</v>
      </c>
    </row>
    <row r="54" spans="1:2" ht="12.75">
      <c r="A54" s="351" t="s">
        <v>1141</v>
      </c>
      <c r="B54" s="95">
        <v>-49</v>
      </c>
    </row>
    <row r="55" spans="1:2" ht="12.75">
      <c r="A55" s="351" t="s">
        <v>305</v>
      </c>
      <c r="B55" s="237">
        <v>42</v>
      </c>
    </row>
    <row r="56" spans="1:2" ht="12.75">
      <c r="A56" s="90" t="s">
        <v>366</v>
      </c>
      <c r="B56" s="348">
        <f>B53+B54+B55</f>
        <v>483</v>
      </c>
    </row>
    <row r="57" spans="1:2" ht="12.75">
      <c r="A57" s="351" t="s">
        <v>1143</v>
      </c>
      <c r="B57" s="95">
        <v>0</v>
      </c>
    </row>
    <row r="58" spans="1:2" ht="12.75">
      <c r="A58" s="351" t="s">
        <v>1144</v>
      </c>
      <c r="B58" s="95">
        <v>0</v>
      </c>
    </row>
    <row r="59" spans="1:2" ht="12.75">
      <c r="A59" s="351" t="s">
        <v>1145</v>
      </c>
      <c r="B59" s="237">
        <v>-167</v>
      </c>
    </row>
    <row r="60" spans="1:2" ht="12.75">
      <c r="A60" s="90" t="s">
        <v>266</v>
      </c>
      <c r="B60" s="349">
        <f>B56+B57+B58+B59</f>
        <v>316</v>
      </c>
    </row>
    <row r="61" spans="1:2" ht="12.75">
      <c r="A61" s="351" t="s">
        <v>1146</v>
      </c>
      <c r="B61" s="237">
        <f>-45</f>
        <v>-45</v>
      </c>
    </row>
    <row r="62" spans="1:2" ht="12.75">
      <c r="A62" s="351" t="s">
        <v>1147</v>
      </c>
      <c r="B62" s="237">
        <v>-11</v>
      </c>
    </row>
    <row r="63" spans="1:2" ht="12.75">
      <c r="A63" s="56" t="s">
        <v>1148</v>
      </c>
      <c r="B63" s="237">
        <f>B60+B61+B62</f>
        <v>260</v>
      </c>
    </row>
    <row r="64" ht="12.75">
      <c r="B64" s="68"/>
    </row>
    <row r="65" spans="1:2" ht="12.75">
      <c r="A65" s="57" t="s">
        <v>1122</v>
      </c>
      <c r="B65" s="72"/>
    </row>
    <row r="66" spans="1:2" ht="12.75">
      <c r="A66" t="s">
        <v>1123</v>
      </c>
      <c r="B66" s="68">
        <v>592</v>
      </c>
    </row>
    <row r="67" spans="1:2" ht="12.75">
      <c r="A67" s="30" t="s">
        <v>1124</v>
      </c>
      <c r="B67" s="68">
        <v>448</v>
      </c>
    </row>
    <row r="68" spans="1:2" ht="12.75">
      <c r="A68" s="30" t="s">
        <v>1125</v>
      </c>
      <c r="B68" s="68">
        <v>0</v>
      </c>
    </row>
    <row r="69" spans="1:2" ht="12.75">
      <c r="A69" s="30" t="s">
        <v>1126</v>
      </c>
      <c r="B69" s="68">
        <v>193</v>
      </c>
    </row>
    <row r="70" spans="1:2" ht="12.75">
      <c r="A70" s="57" t="s">
        <v>1097</v>
      </c>
      <c r="B70" s="91">
        <f>SUM(B66:B69)</f>
        <v>1233</v>
      </c>
    </row>
    <row r="71" spans="1:2" ht="12.75">
      <c r="A71" t="s">
        <v>1127</v>
      </c>
      <c r="B71" s="68">
        <v>1163</v>
      </c>
    </row>
    <row r="72" spans="1:2" ht="12.75">
      <c r="A72" s="30" t="s">
        <v>1128</v>
      </c>
      <c r="B72" s="68">
        <v>1075</v>
      </c>
    </row>
    <row r="73" spans="1:2" ht="12.75">
      <c r="A73" s="30" t="s">
        <v>1129</v>
      </c>
      <c r="B73" s="68">
        <v>259</v>
      </c>
    </row>
    <row r="74" spans="1:2" ht="12.75">
      <c r="A74" s="30" t="s">
        <v>1130</v>
      </c>
      <c r="B74" s="68">
        <v>592</v>
      </c>
    </row>
    <row r="75" spans="1:2" ht="12.75">
      <c r="A75" s="215" t="s">
        <v>1131</v>
      </c>
      <c r="B75" s="72">
        <v>751</v>
      </c>
    </row>
    <row r="76" spans="1:2" ht="12.75">
      <c r="A76" s="57" t="s">
        <v>431</v>
      </c>
      <c r="B76" s="91">
        <f>B71+B72+B73-B74-B75</f>
        <v>1154</v>
      </c>
    </row>
    <row r="77" spans="1:2" ht="12.75">
      <c r="A77" s="90" t="s">
        <v>1132</v>
      </c>
      <c r="B77" s="94">
        <v>1356</v>
      </c>
    </row>
    <row r="78" spans="1:2" ht="12.75">
      <c r="A78" s="57" t="s">
        <v>296</v>
      </c>
      <c r="B78" s="96">
        <v>57</v>
      </c>
    </row>
    <row r="79" spans="1:2" ht="12.75">
      <c r="A79" s="57" t="s">
        <v>1133</v>
      </c>
      <c r="B79" s="96">
        <v>28</v>
      </c>
    </row>
    <row r="80" spans="1:2" ht="12.75">
      <c r="A80" t="s">
        <v>1134</v>
      </c>
      <c r="B80" s="73">
        <v>1225</v>
      </c>
    </row>
    <row r="81" spans="1:2" ht="12.75">
      <c r="A81" s="30" t="s">
        <v>1135</v>
      </c>
      <c r="B81" s="73">
        <v>0</v>
      </c>
    </row>
    <row r="82" spans="1:2" ht="12.75">
      <c r="A82" s="30" t="s">
        <v>263</v>
      </c>
      <c r="B82" s="73">
        <v>0</v>
      </c>
    </row>
    <row r="83" spans="1:2" ht="12.75">
      <c r="A83" s="215" t="s">
        <v>262</v>
      </c>
      <c r="B83" s="97">
        <v>279</v>
      </c>
    </row>
    <row r="84" spans="1:2" ht="12.75">
      <c r="A84" s="1" t="s">
        <v>1115</v>
      </c>
      <c r="B84" s="92">
        <f>B80+B81-B82-B83</f>
        <v>946</v>
      </c>
    </row>
    <row r="87" ht="12.75">
      <c r="A87" s="383" t="s">
        <v>485</v>
      </c>
    </row>
    <row r="88" ht="12.75">
      <c r="A88" s="31"/>
    </row>
    <row r="89" spans="1:2" ht="12.75">
      <c r="A89" t="s">
        <v>1151</v>
      </c>
      <c r="B89" s="68">
        <f>B70</f>
        <v>1233</v>
      </c>
    </row>
    <row r="90" spans="1:2" ht="12.75">
      <c r="A90" t="s">
        <v>1150</v>
      </c>
      <c r="B90" s="68">
        <v>868</v>
      </c>
    </row>
    <row r="91" spans="1:2" ht="12.75">
      <c r="A91" t="s">
        <v>1123</v>
      </c>
      <c r="B91" s="68">
        <v>-592</v>
      </c>
    </row>
    <row r="92" spans="1:2" ht="12.75">
      <c r="A92" t="s">
        <v>431</v>
      </c>
      <c r="B92" s="68">
        <f>B76</f>
        <v>1154</v>
      </c>
    </row>
    <row r="93" spans="1:2" ht="12.75">
      <c r="A93" t="s">
        <v>1133</v>
      </c>
      <c r="B93" s="68">
        <v>-28</v>
      </c>
    </row>
    <row r="94" spans="1:4" ht="12.75">
      <c r="A94" s="77" t="s">
        <v>1095</v>
      </c>
      <c r="B94" s="92">
        <f>SUM(B89:B93)</f>
        <v>2635</v>
      </c>
      <c r="D94" s="75"/>
    </row>
    <row r="96" spans="1:2" ht="12.75">
      <c r="A96" t="s">
        <v>232</v>
      </c>
      <c r="B96" s="47">
        <v>0.34</v>
      </c>
    </row>
    <row r="97" spans="1:2" ht="12.75">
      <c r="A97" t="s">
        <v>1149</v>
      </c>
      <c r="B97">
        <f>B53*(1-B96)</f>
        <v>323.4</v>
      </c>
    </row>
    <row r="99" spans="1:2" ht="12.75">
      <c r="A99" s="1" t="s">
        <v>1152</v>
      </c>
      <c r="B99" s="136">
        <f>B97/B94</f>
        <v>0.1227324478178368</v>
      </c>
    </row>
    <row r="100" spans="1:4" ht="12.75">
      <c r="A100" s="1" t="s">
        <v>1156</v>
      </c>
      <c r="B100" s="136">
        <f>B63/(B77+B90+B91)</f>
        <v>0.15931372549019607</v>
      </c>
      <c r="D100" t="s">
        <v>791</v>
      </c>
    </row>
    <row r="101" spans="2:4" ht="12.75">
      <c r="B101" s="68"/>
      <c r="D101" t="s">
        <v>791</v>
      </c>
    </row>
    <row r="102" ht="12.75">
      <c r="B102" s="68"/>
    </row>
    <row r="103" spans="1:2" ht="12.75">
      <c r="A103" s="98"/>
      <c r="B103" s="68"/>
    </row>
    <row r="108" spans="4:5" ht="12.75">
      <c r="D108" t="s">
        <v>791</v>
      </c>
      <c r="E108" t="s">
        <v>791</v>
      </c>
    </row>
    <row r="109" spans="4:6" ht="12.75">
      <c r="D109" t="s">
        <v>791</v>
      </c>
      <c r="F109" t="s">
        <v>791</v>
      </c>
    </row>
    <row r="110" spans="4:6" ht="12.75">
      <c r="D110" t="s">
        <v>791</v>
      </c>
      <c r="F110" t="s">
        <v>791</v>
      </c>
    </row>
    <row r="111" spans="4:6" ht="12.75">
      <c r="D111" t="s">
        <v>791</v>
      </c>
      <c r="F111" s="83" t="s">
        <v>791</v>
      </c>
    </row>
  </sheetData>
  <printOptions/>
  <pageMargins left="0.7874015748031497" right="0.7874015748031497" top="0.984251968503937" bottom="0.984251968503937" header="0.5118110236220472" footer="0.5118110236220472"/>
  <pageSetup fitToHeight="6"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12.xml><?xml version="1.0" encoding="utf-8"?>
<worksheet xmlns="http://schemas.openxmlformats.org/spreadsheetml/2006/main" xmlns:r="http://schemas.openxmlformats.org/officeDocument/2006/relationships">
  <dimension ref="A1:D10"/>
  <sheetViews>
    <sheetView showGridLines="0" zoomScale="75" zoomScaleNormal="75" workbookViewId="0" topLeftCell="A1">
      <selection activeCell="A1" sqref="A1"/>
    </sheetView>
  </sheetViews>
  <sheetFormatPr defaultColWidth="11.00390625" defaultRowHeight="12.75"/>
  <cols>
    <col min="1" max="1" width="33.00390625" style="0" bestFit="1" customWidth="1"/>
  </cols>
  <sheetData>
    <row r="1" ht="14.25">
      <c r="A1" s="41" t="s">
        <v>287</v>
      </c>
    </row>
    <row r="3" spans="1:4" s="1" customFormat="1" ht="12.75">
      <c r="A3" s="90" t="s">
        <v>1157</v>
      </c>
      <c r="B3" s="62" t="s">
        <v>282</v>
      </c>
      <c r="C3" s="62" t="s">
        <v>1158</v>
      </c>
      <c r="D3" s="62" t="s">
        <v>523</v>
      </c>
    </row>
    <row r="4" spans="1:4" ht="12.75">
      <c r="A4" t="s">
        <v>1159</v>
      </c>
      <c r="B4" s="340">
        <v>2239</v>
      </c>
      <c r="C4" s="340">
        <v>28320</v>
      </c>
      <c r="D4" s="340">
        <v>3102</v>
      </c>
    </row>
    <row r="5" spans="1:4" ht="12.75">
      <c r="A5" t="s">
        <v>1160</v>
      </c>
      <c r="B5" s="340">
        <v>10635</v>
      </c>
      <c r="C5" s="340">
        <v>17439</v>
      </c>
      <c r="D5" s="340">
        <v>9283</v>
      </c>
    </row>
    <row r="6" spans="1:4" ht="12.75">
      <c r="A6" t="s">
        <v>431</v>
      </c>
      <c r="B6" s="340">
        <v>-809</v>
      </c>
      <c r="C6" s="340">
        <v>5606</v>
      </c>
      <c r="D6" s="340">
        <v>-532</v>
      </c>
    </row>
    <row r="7" spans="1:4" ht="12.75">
      <c r="A7" t="s">
        <v>315</v>
      </c>
      <c r="B7" s="340">
        <v>726</v>
      </c>
      <c r="C7" s="340">
        <v>41800</v>
      </c>
      <c r="D7" s="340">
        <v>458</v>
      </c>
    </row>
    <row r="8" spans="1:4" ht="12.75">
      <c r="A8" t="s">
        <v>1161</v>
      </c>
      <c r="B8" s="340">
        <v>11041</v>
      </c>
      <c r="C8" s="340">
        <v>9743</v>
      </c>
      <c r="D8" s="340">
        <v>5763</v>
      </c>
    </row>
    <row r="9" spans="1:4" ht="12.75">
      <c r="A9" t="s">
        <v>238</v>
      </c>
      <c r="B9" s="340">
        <v>8136</v>
      </c>
      <c r="C9" s="340">
        <v>90333</v>
      </c>
      <c r="D9" s="340">
        <v>51044</v>
      </c>
    </row>
    <row r="10" spans="1:4" ht="12.75">
      <c r="A10" s="33" t="s">
        <v>1116</v>
      </c>
      <c r="B10" s="341">
        <v>94</v>
      </c>
      <c r="C10" s="341">
        <v>11202</v>
      </c>
      <c r="D10" s="341">
        <v>1394</v>
      </c>
    </row>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L208"/>
  <sheetViews>
    <sheetView showGridLines="0" zoomScale="75" zoomScaleNormal="75" workbookViewId="0" topLeftCell="A1">
      <selection activeCell="A1" sqref="A1"/>
    </sheetView>
  </sheetViews>
  <sheetFormatPr defaultColWidth="11.00390625" defaultRowHeight="12.75"/>
  <cols>
    <col min="1" max="1" width="22.50390625" style="0" bestFit="1" customWidth="1"/>
    <col min="2" max="2" width="12.00390625" style="0" bestFit="1" customWidth="1"/>
    <col min="7" max="8" width="9.75390625" style="0" bestFit="1" customWidth="1"/>
    <col min="9" max="11" width="7.125" style="0" bestFit="1" customWidth="1"/>
    <col min="12" max="12" width="6.125" style="0" bestFit="1" customWidth="1"/>
    <col min="13" max="80" width="3.50390625" style="0" customWidth="1"/>
  </cols>
  <sheetData>
    <row r="1" ht="14.25">
      <c r="A1" s="41" t="s">
        <v>370</v>
      </c>
    </row>
    <row r="2" spans="1:4" ht="12.75">
      <c r="A2" t="s">
        <v>1167</v>
      </c>
      <c r="B2" s="23">
        <v>100</v>
      </c>
      <c r="C2" s="23">
        <v>100</v>
      </c>
      <c r="D2" s="23">
        <v>100</v>
      </c>
    </row>
    <row r="3" spans="1:4" ht="12.75">
      <c r="A3" t="s">
        <v>1166</v>
      </c>
      <c r="B3">
        <v>3</v>
      </c>
      <c r="C3">
        <v>3</v>
      </c>
      <c r="D3">
        <v>3</v>
      </c>
    </row>
    <row r="4" spans="1:4" ht="12.75">
      <c r="A4" t="s">
        <v>1165</v>
      </c>
      <c r="B4" s="47">
        <v>0.05</v>
      </c>
      <c r="C4" s="47">
        <v>0.1</v>
      </c>
      <c r="D4" s="47">
        <v>0.2</v>
      </c>
    </row>
    <row r="5" spans="1:4" ht="12.75">
      <c r="A5" t="s">
        <v>1164</v>
      </c>
      <c r="B5" s="68">
        <f>B2/POWER(1+B4,B3)</f>
        <v>86.3837598531476</v>
      </c>
      <c r="C5" s="68">
        <f>C2/POWER(1+C4,C3)</f>
        <v>75.13148009015775</v>
      </c>
      <c r="D5" s="68">
        <f>D2/POWER(1+D4,D3)</f>
        <v>57.870370370370374</v>
      </c>
    </row>
    <row r="7" ht="14.25">
      <c r="A7" s="41" t="s">
        <v>1108</v>
      </c>
    </row>
    <row r="8" spans="1:4" ht="12.75">
      <c r="A8" t="s">
        <v>1168</v>
      </c>
      <c r="B8" s="23">
        <v>100</v>
      </c>
      <c r="C8" s="23">
        <v>100</v>
      </c>
      <c r="D8" s="23">
        <v>100</v>
      </c>
    </row>
    <row r="9" spans="1:4" ht="12.75">
      <c r="A9" t="s">
        <v>1166</v>
      </c>
      <c r="B9">
        <v>3</v>
      </c>
      <c r="C9">
        <v>5</v>
      </c>
      <c r="D9">
        <v>10</v>
      </c>
    </row>
    <row r="10" spans="1:4" ht="12.75">
      <c r="A10" t="s">
        <v>1165</v>
      </c>
      <c r="B10" s="47">
        <v>0.1</v>
      </c>
      <c r="C10" s="47">
        <v>0.1</v>
      </c>
      <c r="D10" s="47">
        <v>0.1</v>
      </c>
    </row>
    <row r="11" spans="1:4" ht="12.75">
      <c r="A11" t="s">
        <v>1164</v>
      </c>
      <c r="B11" s="68">
        <f>B8/POWER(1+B10,B9)</f>
        <v>75.13148009015775</v>
      </c>
      <c r="C11" s="68">
        <f>C8/POWER(1+C10,C9)</f>
        <v>62.0921323059155</v>
      </c>
      <c r="D11" s="68">
        <f>D8/POWER(1+D10,D9)</f>
        <v>38.55432894295315</v>
      </c>
    </row>
    <row r="12" spans="1:4" ht="12.75">
      <c r="A12" t="s">
        <v>1184</v>
      </c>
      <c r="B12" s="101">
        <f>B11/B8</f>
        <v>0.7513148009015775</v>
      </c>
      <c r="C12" s="101">
        <f>C11/C8</f>
        <v>0.620921323059155</v>
      </c>
      <c r="D12" s="101">
        <f>D11/D8</f>
        <v>0.3855432894295315</v>
      </c>
    </row>
    <row r="14" ht="14.25">
      <c r="A14" s="41" t="s">
        <v>1118</v>
      </c>
    </row>
    <row r="15" spans="1:4" ht="12.75">
      <c r="A15" t="s">
        <v>1170</v>
      </c>
      <c r="B15" s="23">
        <v>1000</v>
      </c>
      <c r="C15" s="23">
        <v>1000</v>
      </c>
      <c r="D15" s="23">
        <v>1000</v>
      </c>
    </row>
    <row r="16" spans="1:4" ht="12.75">
      <c r="A16" t="s">
        <v>1166</v>
      </c>
      <c r="B16">
        <v>5</v>
      </c>
      <c r="C16">
        <v>5</v>
      </c>
      <c r="D16">
        <v>5</v>
      </c>
    </row>
    <row r="17" spans="1:4" ht="12.75">
      <c r="A17" t="s">
        <v>1165</v>
      </c>
      <c r="B17" s="47">
        <v>0.05</v>
      </c>
      <c r="C17" s="47">
        <v>0.1</v>
      </c>
      <c r="D17" s="47">
        <v>0.2</v>
      </c>
    </row>
    <row r="18" spans="1:4" ht="12.75">
      <c r="A18" t="s">
        <v>1171</v>
      </c>
      <c r="B18" s="63">
        <f>B15*POWER(1+B17,B16)</f>
        <v>1276.2815625</v>
      </c>
      <c r="C18" s="63">
        <f>C15*POWER(1+C17,C16)</f>
        <v>1610.5100000000004</v>
      </c>
      <c r="D18" s="63">
        <f>D15*POWER(1+D17,D16)</f>
        <v>2488.3199999999997</v>
      </c>
    </row>
    <row r="20" ht="14.25">
      <c r="A20" s="41" t="s">
        <v>495</v>
      </c>
    </row>
    <row r="21" spans="1:4" ht="12.75">
      <c r="A21" t="s">
        <v>1170</v>
      </c>
      <c r="B21" s="23">
        <v>1000</v>
      </c>
      <c r="C21" s="23">
        <v>1000</v>
      </c>
      <c r="D21" s="23">
        <v>1000</v>
      </c>
    </row>
    <row r="22" spans="1:4" ht="12.75">
      <c r="A22" t="s">
        <v>1166</v>
      </c>
      <c r="B22">
        <v>5</v>
      </c>
      <c r="C22">
        <v>10</v>
      </c>
      <c r="D22">
        <v>20</v>
      </c>
    </row>
    <row r="23" spans="1:4" ht="12.75">
      <c r="A23" t="s">
        <v>1165</v>
      </c>
      <c r="B23" s="47">
        <v>0.08</v>
      </c>
      <c r="C23" s="47">
        <v>0.08</v>
      </c>
      <c r="D23" s="47">
        <v>0.08</v>
      </c>
    </row>
    <row r="24" spans="1:4" ht="12.75">
      <c r="A24" t="s">
        <v>1171</v>
      </c>
      <c r="B24" s="63">
        <f>B21*POWER(1+B23,B22)</f>
        <v>1469.3280768000004</v>
      </c>
      <c r="C24" s="63">
        <f>C21*POWER(1+C23,C22)</f>
        <v>2158.9249972727876</v>
      </c>
      <c r="D24" s="63">
        <f>D21*POWER(1+D23,D22)</f>
        <v>4660.957143849307</v>
      </c>
    </row>
    <row r="26" ht="14.25">
      <c r="A26" s="41" t="s">
        <v>515</v>
      </c>
    </row>
    <row r="27" spans="1:8" ht="12.75">
      <c r="A27" s="33" t="s">
        <v>908</v>
      </c>
      <c r="B27" s="61" t="s">
        <v>1172</v>
      </c>
      <c r="C27" s="33"/>
      <c r="D27" s="33"/>
      <c r="E27" s="61" t="s">
        <v>1180</v>
      </c>
      <c r="F27" s="33"/>
      <c r="G27" s="33"/>
      <c r="H27" s="103" t="s">
        <v>1095</v>
      </c>
    </row>
    <row r="28" spans="1:8" ht="12.75">
      <c r="A28" t="s">
        <v>1173</v>
      </c>
      <c r="B28" s="49">
        <v>0</v>
      </c>
      <c r="C28" s="55">
        <v>1</v>
      </c>
      <c r="D28">
        <v>2</v>
      </c>
      <c r="E28" s="49"/>
      <c r="F28" s="55"/>
      <c r="H28" s="49"/>
    </row>
    <row r="29" spans="1:8" ht="12.75">
      <c r="A29" t="s">
        <v>1174</v>
      </c>
      <c r="B29" s="51">
        <f>10000*0.9</f>
        <v>9000</v>
      </c>
      <c r="C29" s="58"/>
      <c r="D29" s="23"/>
      <c r="E29" s="51">
        <f aca="true" t="shared" si="0" ref="E29:G30">B29/POWER(1+$B$32,B$28)</f>
        <v>9000</v>
      </c>
      <c r="F29" s="58">
        <f t="shared" si="0"/>
        <v>0</v>
      </c>
      <c r="G29" s="23">
        <f t="shared" si="0"/>
        <v>0</v>
      </c>
      <c r="H29" s="51">
        <f>SUM(E29:G29)</f>
        <v>9000</v>
      </c>
    </row>
    <row r="30" spans="1:8" ht="12.75">
      <c r="A30" t="s">
        <v>1175</v>
      </c>
      <c r="B30" s="51">
        <f>10000/3</f>
        <v>3333.3333333333335</v>
      </c>
      <c r="C30" s="58">
        <f>10000/3</f>
        <v>3333.3333333333335</v>
      </c>
      <c r="D30" s="58">
        <f>10000/3</f>
        <v>3333.3333333333335</v>
      </c>
      <c r="E30" s="51">
        <f t="shared" si="0"/>
        <v>3333.3333333333335</v>
      </c>
      <c r="F30" s="58">
        <f t="shared" si="0"/>
        <v>2988.080013378727</v>
      </c>
      <c r="G30" s="23">
        <f t="shared" si="0"/>
        <v>2678.586649906024</v>
      </c>
      <c r="H30" s="51">
        <f>SUM(E30:G30)</f>
        <v>8999.999996618084</v>
      </c>
    </row>
    <row r="32" spans="1:2" ht="12.75">
      <c r="A32" t="s">
        <v>1183</v>
      </c>
      <c r="B32" s="142">
        <v>0.11554353243848266</v>
      </c>
    </row>
    <row r="34" ht="14.25">
      <c r="A34" s="41" t="s">
        <v>1162</v>
      </c>
    </row>
    <row r="35" spans="1:2" ht="12.75">
      <c r="A35" t="s">
        <v>1177</v>
      </c>
      <c r="B35">
        <v>110</v>
      </c>
    </row>
    <row r="36" spans="1:2" ht="12.75">
      <c r="A36" t="s">
        <v>1178</v>
      </c>
      <c r="B36">
        <v>121</v>
      </c>
    </row>
    <row r="37" spans="1:2" ht="12.75">
      <c r="A37" t="s">
        <v>1165</v>
      </c>
      <c r="B37" s="25">
        <f>B36/B35-1</f>
        <v>0.10000000000000009</v>
      </c>
    </row>
    <row r="39" ht="14.25">
      <c r="A39" s="41" t="s">
        <v>1163</v>
      </c>
    </row>
    <row r="40" spans="1:2" ht="12.75">
      <c r="A40" t="s">
        <v>1176</v>
      </c>
      <c r="B40">
        <v>8</v>
      </c>
    </row>
    <row r="41" spans="1:3" ht="12.75">
      <c r="A41" t="s">
        <v>1165</v>
      </c>
      <c r="B41" s="226">
        <v>0.05</v>
      </c>
      <c r="C41" s="47"/>
    </row>
    <row r="42" spans="1:3" ht="12.75">
      <c r="A42" t="s">
        <v>1169</v>
      </c>
      <c r="B42" s="6">
        <f>POWER(1+B41,B40)</f>
        <v>1.4774554437890626</v>
      </c>
      <c r="C42" s="6"/>
    </row>
    <row r="43" spans="1:3" ht="12.75">
      <c r="A43" t="s">
        <v>1179</v>
      </c>
      <c r="B43" s="23">
        <v>100</v>
      </c>
      <c r="C43" s="23"/>
    </row>
    <row r="45" spans="1:3" ht="12.75">
      <c r="A45" t="s">
        <v>1185</v>
      </c>
      <c r="B45" s="93">
        <f>B43/B42</f>
        <v>67.68393620286872</v>
      </c>
      <c r="C45" s="143"/>
    </row>
    <row r="47" ht="14.25">
      <c r="A47" s="41" t="s">
        <v>1186</v>
      </c>
    </row>
    <row r="48" spans="1:6" ht="12.75">
      <c r="A48" s="33" t="s">
        <v>908</v>
      </c>
      <c r="B48" s="61" t="s">
        <v>1172</v>
      </c>
      <c r="C48" s="33"/>
      <c r="D48" s="61" t="s">
        <v>1180</v>
      </c>
      <c r="E48" s="33"/>
      <c r="F48" s="103" t="s">
        <v>1095</v>
      </c>
    </row>
    <row r="49" spans="1:6" ht="12.75">
      <c r="A49" t="s">
        <v>1173</v>
      </c>
      <c r="B49" s="49">
        <v>0</v>
      </c>
      <c r="C49">
        <v>4</v>
      </c>
      <c r="D49" s="49"/>
      <c r="F49" s="49"/>
    </row>
    <row r="50" spans="1:6" ht="12.75">
      <c r="A50" t="s">
        <v>1181</v>
      </c>
      <c r="B50" s="51">
        <v>100</v>
      </c>
      <c r="C50" s="23"/>
      <c r="D50" s="51">
        <f>B50/POWER(1+$B$53,B$49)</f>
        <v>100</v>
      </c>
      <c r="E50" s="23">
        <f>C50/POWER(1+$B$53,C$49)</f>
        <v>0</v>
      </c>
      <c r="F50" s="51">
        <f>SUM(D50:E50)</f>
        <v>100</v>
      </c>
    </row>
    <row r="51" spans="1:6" ht="12.75">
      <c r="A51" t="s">
        <v>1182</v>
      </c>
      <c r="B51" s="51">
        <v>0</v>
      </c>
      <c r="C51" s="23">
        <v>131.1</v>
      </c>
      <c r="D51" s="51">
        <f>B51/POWER(1+$B$53,B$49)</f>
        <v>0</v>
      </c>
      <c r="E51" s="23">
        <f>C51/POWER(1+$B$53,C$49)</f>
        <v>100.01556229943056</v>
      </c>
      <c r="F51" s="51">
        <f>SUM(D51:E51)</f>
        <v>100.01556229943056</v>
      </c>
    </row>
    <row r="53" spans="1:2" ht="12.75">
      <c r="A53" t="s">
        <v>1183</v>
      </c>
      <c r="B53" s="47">
        <v>0.07</v>
      </c>
    </row>
    <row r="55" ht="14.25">
      <c r="A55" s="41" t="s">
        <v>1187</v>
      </c>
    </row>
    <row r="56" spans="1:2" ht="12.75">
      <c r="A56" s="330" t="s">
        <v>1194</v>
      </c>
      <c r="B56">
        <v>2</v>
      </c>
    </row>
    <row r="57" spans="1:7" ht="12.75">
      <c r="A57" t="s">
        <v>28</v>
      </c>
      <c r="B57">
        <v>1</v>
      </c>
      <c r="C57">
        <v>2</v>
      </c>
      <c r="D57">
        <v>3</v>
      </c>
      <c r="E57">
        <v>4</v>
      </c>
      <c r="F57">
        <v>5</v>
      </c>
      <c r="G57">
        <v>6</v>
      </c>
    </row>
    <row r="58" spans="1:7" ht="12.75">
      <c r="A58" t="s">
        <v>1165</v>
      </c>
      <c r="B58" s="67">
        <f aca="true" t="shared" si="1" ref="B58:G58">POWER($B56,1/B57)-1</f>
        <v>1</v>
      </c>
      <c r="C58" s="67">
        <f t="shared" si="1"/>
        <v>0.41421356237309515</v>
      </c>
      <c r="D58" s="67">
        <f t="shared" si="1"/>
        <v>0.2599210498948732</v>
      </c>
      <c r="E58" s="67">
        <f t="shared" si="1"/>
        <v>0.18920711500272103</v>
      </c>
      <c r="F58" s="67">
        <f t="shared" si="1"/>
        <v>0.1486983549970351</v>
      </c>
      <c r="G58" s="67">
        <f t="shared" si="1"/>
        <v>0.12246204830937302</v>
      </c>
    </row>
    <row r="59" spans="1:7" ht="12.75">
      <c r="A59" t="s">
        <v>909</v>
      </c>
      <c r="B59" s="25">
        <f aca="true" t="shared" si="2" ref="B59:G59">0.75/B57</f>
        <v>0.75</v>
      </c>
      <c r="C59" s="25">
        <f t="shared" si="2"/>
        <v>0.375</v>
      </c>
      <c r="D59" s="25">
        <f t="shared" si="2"/>
        <v>0.25</v>
      </c>
      <c r="E59" s="25">
        <f t="shared" si="2"/>
        <v>0.1875</v>
      </c>
      <c r="F59" s="25">
        <f t="shared" si="2"/>
        <v>0.15</v>
      </c>
      <c r="G59" s="25">
        <f t="shared" si="2"/>
        <v>0.125</v>
      </c>
    </row>
    <row r="61" ht="14.25">
      <c r="A61" s="41" t="s">
        <v>1188</v>
      </c>
    </row>
    <row r="62" spans="1:2" ht="12.75">
      <c r="A62" s="330" t="s">
        <v>1194</v>
      </c>
      <c r="B62">
        <v>3</v>
      </c>
    </row>
    <row r="63" spans="1:7" ht="12.75">
      <c r="A63" t="s">
        <v>28</v>
      </c>
      <c r="B63">
        <v>1</v>
      </c>
      <c r="C63">
        <v>2</v>
      </c>
      <c r="D63">
        <v>3</v>
      </c>
      <c r="E63">
        <v>4</v>
      </c>
      <c r="F63">
        <v>5</v>
      </c>
      <c r="G63">
        <v>6</v>
      </c>
    </row>
    <row r="64" spans="1:7" ht="12.75">
      <c r="A64" t="s">
        <v>1165</v>
      </c>
      <c r="B64" s="67">
        <f aca="true" t="shared" si="3" ref="B64:G64">POWER($B62,1/B63)-1</f>
        <v>2</v>
      </c>
      <c r="C64" s="67">
        <f t="shared" si="3"/>
        <v>0.7320508075688772</v>
      </c>
      <c r="D64" s="67">
        <f t="shared" si="3"/>
        <v>0.4422495703074083</v>
      </c>
      <c r="E64" s="67">
        <f t="shared" si="3"/>
        <v>0.3160740129524926</v>
      </c>
      <c r="F64" s="67">
        <f t="shared" si="3"/>
        <v>0.2457309396155174</v>
      </c>
      <c r="G64" s="67">
        <f t="shared" si="3"/>
        <v>0.20093695517600274</v>
      </c>
    </row>
    <row r="65" spans="1:7" ht="12.75">
      <c r="A65" t="s">
        <v>910</v>
      </c>
      <c r="B65" s="25">
        <f aca="true" t="shared" si="4" ref="B65:G65">1.25/B63</f>
        <v>1.25</v>
      </c>
      <c r="C65" s="25">
        <f t="shared" si="4"/>
        <v>0.625</v>
      </c>
      <c r="D65" s="25">
        <f t="shared" si="4"/>
        <v>0.4166666666666667</v>
      </c>
      <c r="E65" s="25">
        <f t="shared" si="4"/>
        <v>0.3125</v>
      </c>
      <c r="F65" s="25">
        <f t="shared" si="4"/>
        <v>0.25</v>
      </c>
      <c r="G65" s="25">
        <f t="shared" si="4"/>
        <v>0.20833333333333334</v>
      </c>
    </row>
    <row r="67" ht="14.25">
      <c r="A67" s="41" t="s">
        <v>1189</v>
      </c>
    </row>
    <row r="68" spans="1:3" ht="12.75">
      <c r="A68" t="s">
        <v>1179</v>
      </c>
      <c r="B68" s="58">
        <v>121</v>
      </c>
      <c r="C68" s="58">
        <v>121</v>
      </c>
    </row>
    <row r="69" spans="1:3" ht="12.75">
      <c r="A69" t="s">
        <v>1166</v>
      </c>
      <c r="B69" s="55">
        <v>2</v>
      </c>
      <c r="C69" s="55">
        <v>2</v>
      </c>
    </row>
    <row r="70" spans="1:3" ht="12.75">
      <c r="A70" t="s">
        <v>1195</v>
      </c>
      <c r="B70" s="104">
        <v>0.09</v>
      </c>
      <c r="C70" s="104">
        <v>0.08</v>
      </c>
    </row>
    <row r="71" spans="1:3" ht="12.75">
      <c r="A71" t="s">
        <v>1196</v>
      </c>
      <c r="B71" s="105">
        <f>B68/POWER(1+B70,B69)</f>
        <v>101.84327918525375</v>
      </c>
      <c r="C71" s="105">
        <f>C68/POWER(1+C70,C69)</f>
        <v>103.73799725651577</v>
      </c>
    </row>
    <row r="73" ht="14.25">
      <c r="A73" s="41" t="s">
        <v>1190</v>
      </c>
    </row>
    <row r="74" spans="1:3" ht="12.75">
      <c r="A74" t="s">
        <v>1197</v>
      </c>
      <c r="B74" s="58">
        <v>30</v>
      </c>
      <c r="C74" t="s">
        <v>1199</v>
      </c>
    </row>
    <row r="75" spans="1:2" ht="12.75">
      <c r="A75" t="s">
        <v>1198</v>
      </c>
      <c r="B75">
        <v>33</v>
      </c>
    </row>
    <row r="76" spans="1:2" ht="12.75">
      <c r="A76" t="s">
        <v>1200</v>
      </c>
      <c r="B76">
        <f>2005-B75</f>
        <v>1972</v>
      </c>
    </row>
    <row r="77" spans="1:2" ht="12.75">
      <c r="A77" t="s">
        <v>1165</v>
      </c>
      <c r="B77" s="47">
        <v>0.03</v>
      </c>
    </row>
    <row r="78" spans="1:3" ht="12.75">
      <c r="A78" t="s">
        <v>1177</v>
      </c>
      <c r="B78" s="60">
        <f>B74*POWER(1+B77,B76)</f>
        <v>6.19624203032547E+26</v>
      </c>
      <c r="C78" t="s">
        <v>1199</v>
      </c>
    </row>
    <row r="80" spans="1:2" ht="14.25">
      <c r="A80" s="41" t="s">
        <v>1191</v>
      </c>
      <c r="B80" t="s">
        <v>913</v>
      </c>
    </row>
    <row r="81" spans="1:2" ht="12.75">
      <c r="A81" t="s">
        <v>912</v>
      </c>
      <c r="B81" s="58">
        <v>100</v>
      </c>
    </row>
    <row r="82" spans="1:2" ht="12.75">
      <c r="A82" t="s">
        <v>907</v>
      </c>
      <c r="B82">
        <v>4</v>
      </c>
    </row>
    <row r="83" spans="1:2" ht="12.75">
      <c r="A83" t="s">
        <v>906</v>
      </c>
      <c r="B83" s="47">
        <v>0.06</v>
      </c>
    </row>
    <row r="84" spans="1:2" ht="12.75">
      <c r="A84" t="s">
        <v>911</v>
      </c>
      <c r="B84" s="101">
        <f>B81*POWER(1+B83,B82)</f>
        <v>126.24769600000003</v>
      </c>
    </row>
    <row r="86" spans="1:2" ht="14.25">
      <c r="A86" s="41" t="s">
        <v>1192</v>
      </c>
      <c r="B86" t="s">
        <v>914</v>
      </c>
    </row>
    <row r="87" spans="1:2" ht="12.75">
      <c r="A87" t="s">
        <v>1177</v>
      </c>
      <c r="B87" s="58">
        <v>14</v>
      </c>
    </row>
    <row r="88" spans="1:2" ht="12.75">
      <c r="A88" t="s">
        <v>1209</v>
      </c>
      <c r="B88" s="47">
        <v>0.18</v>
      </c>
    </row>
    <row r="89" spans="1:2" ht="12.75">
      <c r="A89" t="s">
        <v>1166</v>
      </c>
      <c r="B89">
        <v>4</v>
      </c>
    </row>
    <row r="90" spans="1:2" ht="12.75">
      <c r="A90" t="s">
        <v>1179</v>
      </c>
      <c r="B90" s="105">
        <f>B87*POWER(1+B88,B89)</f>
        <v>27.142888639999995</v>
      </c>
    </row>
    <row r="92" ht="14.25">
      <c r="A92" s="41" t="s">
        <v>1193</v>
      </c>
    </row>
    <row r="93" spans="1:2" ht="12.75">
      <c r="A93" t="s">
        <v>1177</v>
      </c>
      <c r="B93" s="58">
        <v>137</v>
      </c>
    </row>
    <row r="94" spans="1:2" ht="12.75">
      <c r="A94" t="s">
        <v>1209</v>
      </c>
      <c r="B94" s="47">
        <v>0.07</v>
      </c>
    </row>
    <row r="95" spans="1:2" ht="12.75">
      <c r="A95" t="s">
        <v>1166</v>
      </c>
      <c r="B95">
        <v>10</v>
      </c>
    </row>
    <row r="96" spans="1:2" ht="12.75">
      <c r="A96" t="s">
        <v>1210</v>
      </c>
      <c r="B96" s="58">
        <v>9.6</v>
      </c>
    </row>
    <row r="97" ht="12.75">
      <c r="B97" s="58"/>
    </row>
    <row r="98" spans="1:12" ht="12.75">
      <c r="A98" t="s">
        <v>1211</v>
      </c>
      <c r="B98" t="s">
        <v>1095</v>
      </c>
      <c r="C98">
        <v>1</v>
      </c>
      <c r="D98">
        <v>2</v>
      </c>
      <c r="E98">
        <v>3</v>
      </c>
      <c r="F98">
        <v>4</v>
      </c>
      <c r="G98">
        <v>5</v>
      </c>
      <c r="H98">
        <v>6</v>
      </c>
      <c r="I98">
        <v>7</v>
      </c>
      <c r="J98">
        <v>8</v>
      </c>
      <c r="K98">
        <v>9</v>
      </c>
      <c r="L98">
        <v>10</v>
      </c>
    </row>
    <row r="99" spans="1:12" ht="12.75">
      <c r="A99" t="s">
        <v>1212</v>
      </c>
      <c r="B99" s="23">
        <f>SUM(C99:L99)</f>
        <v>132.63790042828325</v>
      </c>
      <c r="C99" s="58">
        <f>$B96*POWER(1+$B94,10-C98)</f>
        <v>17.649208439233487</v>
      </c>
      <c r="D99" s="58">
        <f aca="true" t="shared" si="5" ref="D99:L99">$B96*POWER(1+$B94,10-D98)</f>
        <v>16.494587326386434</v>
      </c>
      <c r="E99" s="58">
        <f t="shared" si="5"/>
        <v>15.415502174192929</v>
      </c>
      <c r="F99" s="58">
        <f t="shared" si="5"/>
        <v>14.4070113777504</v>
      </c>
      <c r="G99" s="58">
        <f t="shared" si="5"/>
        <v>13.464496614720002</v>
      </c>
      <c r="H99" s="58">
        <f t="shared" si="5"/>
        <v>12.583641695999999</v>
      </c>
      <c r="I99" s="58">
        <f t="shared" si="5"/>
        <v>11.760412800000001</v>
      </c>
      <c r="J99" s="58">
        <f t="shared" si="5"/>
        <v>10.99104</v>
      </c>
      <c r="K99" s="58">
        <f t="shared" si="5"/>
        <v>10.272</v>
      </c>
      <c r="L99" s="58">
        <f t="shared" si="5"/>
        <v>9.6</v>
      </c>
    </row>
    <row r="100" ht="12.75">
      <c r="B100" s="58"/>
    </row>
    <row r="101" spans="1:2" ht="12.75">
      <c r="A101" t="s">
        <v>1213</v>
      </c>
      <c r="B101" s="105">
        <f>B93*POWER(1+B94,B95)-B99</f>
        <v>136.86183552038725</v>
      </c>
    </row>
    <row r="104" ht="14.25">
      <c r="A104" s="41" t="s">
        <v>260</v>
      </c>
    </row>
    <row r="105" spans="1:2" ht="12.75">
      <c r="A105" t="s">
        <v>915</v>
      </c>
      <c r="B105">
        <v>897</v>
      </c>
    </row>
    <row r="107" spans="1:6" ht="12.75">
      <c r="A107" s="249" t="s">
        <v>28</v>
      </c>
      <c r="B107" s="250">
        <v>1</v>
      </c>
      <c r="C107" s="250">
        <v>2</v>
      </c>
      <c r="D107" s="250">
        <v>3</v>
      </c>
      <c r="E107" s="250">
        <v>4</v>
      </c>
      <c r="F107" s="250">
        <v>5</v>
      </c>
    </row>
    <row r="108" spans="1:6" ht="12.75">
      <c r="A108" s="135" t="s">
        <v>1265</v>
      </c>
      <c r="B108" s="250">
        <v>300</v>
      </c>
      <c r="C108" s="250">
        <v>300</v>
      </c>
      <c r="D108" s="250">
        <v>300</v>
      </c>
      <c r="E108" s="250">
        <v>300</v>
      </c>
      <c r="F108" s="250">
        <v>300</v>
      </c>
    </row>
    <row r="110" spans="1:6" ht="12.75">
      <c r="A110" t="s">
        <v>1165</v>
      </c>
      <c r="B110" s="47" t="s">
        <v>1236</v>
      </c>
      <c r="C110" s="47"/>
      <c r="D110" s="47"/>
      <c r="E110" s="47"/>
      <c r="F110" s="47"/>
    </row>
    <row r="111" spans="1:2" ht="12.75">
      <c r="A111" s="107">
        <v>0.05</v>
      </c>
      <c r="B111" s="108">
        <f>SUMPRODUCT(B$5:F$5,POWER(1+$A111,-B$4:F$4))-B$2</f>
        <v>118.24750359591337</v>
      </c>
    </row>
    <row r="112" spans="1:2" ht="12.75">
      <c r="A112" s="107">
        <v>0.1</v>
      </c>
      <c r="B112" s="108">
        <f>SUMPRODUCT(B$5:F$5,POWER(1+$A112,-B$4:F$4))-B$2</f>
        <v>117.16956959849944</v>
      </c>
    </row>
    <row r="113" spans="1:2" ht="12.75">
      <c r="A113" s="107">
        <v>0.15</v>
      </c>
      <c r="B113" s="108">
        <f>SUMPRODUCT(B$5:F$5,POWER(1+$A113,-B$4:F$4))-B$2</f>
        <v>116.14609200023526</v>
      </c>
    </row>
    <row r="114" spans="1:2" ht="12.75">
      <c r="A114" s="107">
        <v>0.2</v>
      </c>
      <c r="B114" s="108">
        <f>SUMPRODUCT(B$5:F$5,POWER(1+$A114,-B$4:F$4))-B$2</f>
        <v>115.1721175638067</v>
      </c>
    </row>
    <row r="115" spans="1:2" ht="12.75">
      <c r="A115" s="107">
        <v>0.25</v>
      </c>
      <c r="B115" s="108">
        <f>SUMPRODUCT(B$5:F$5,POWER(1+$A115,-B$4:F$4))-B$2</f>
        <v>114.24332730006017</v>
      </c>
    </row>
    <row r="126" ht="14.25">
      <c r="A126" s="41" t="s">
        <v>1201</v>
      </c>
    </row>
    <row r="127" spans="1:2" ht="12.75">
      <c r="A127" t="s">
        <v>805</v>
      </c>
      <c r="B127">
        <v>100</v>
      </c>
    </row>
    <row r="128" spans="1:2" ht="12.75">
      <c r="A128" t="s">
        <v>1165</v>
      </c>
      <c r="B128" s="47">
        <v>0.1</v>
      </c>
    </row>
    <row r="130" spans="1:2" ht="25.5">
      <c r="A130" s="3" t="s">
        <v>806</v>
      </c>
      <c r="B130">
        <f>B127/B128</f>
        <v>1000</v>
      </c>
    </row>
    <row r="131" ht="12.75">
      <c r="A131" s="3"/>
    </row>
    <row r="132" spans="1:2" ht="12.75">
      <c r="A132" t="s">
        <v>807</v>
      </c>
      <c r="B132" s="47">
        <v>0.03</v>
      </c>
    </row>
    <row r="134" spans="1:2" ht="25.5">
      <c r="A134" s="3" t="s">
        <v>808</v>
      </c>
      <c r="B134" s="108">
        <f>B127/(B128-B132)</f>
        <v>1428.5714285714284</v>
      </c>
    </row>
    <row r="136" ht="14.25">
      <c r="A136" s="41" t="s">
        <v>1202</v>
      </c>
    </row>
    <row r="137" spans="1:2" ht="12.75">
      <c r="A137" t="s">
        <v>805</v>
      </c>
      <c r="B137">
        <v>100</v>
      </c>
    </row>
    <row r="138" spans="1:2" ht="12.75">
      <c r="A138" t="s">
        <v>1165</v>
      </c>
      <c r="B138" s="47">
        <v>0.1</v>
      </c>
    </row>
    <row r="140" spans="1:2" ht="25.5">
      <c r="A140" s="3" t="s">
        <v>806</v>
      </c>
      <c r="B140" s="75">
        <f>B137/B138</f>
        <v>1000</v>
      </c>
    </row>
    <row r="141" ht="12.75">
      <c r="A141" s="3"/>
    </row>
    <row r="142" spans="1:2" ht="12.75">
      <c r="A142" t="s">
        <v>1176</v>
      </c>
      <c r="B142" s="109">
        <v>3</v>
      </c>
    </row>
    <row r="144" spans="1:2" ht="25.5">
      <c r="A144" s="3" t="s">
        <v>809</v>
      </c>
      <c r="B144" s="75">
        <f>B137/B138*(1-1/POWER(1+B138,B142))</f>
        <v>248.68519909842246</v>
      </c>
    </row>
    <row r="146" ht="14.25">
      <c r="A146" s="41" t="s">
        <v>1204</v>
      </c>
    </row>
    <row r="147" spans="1:10" ht="12.75">
      <c r="A147" s="250" t="s">
        <v>916</v>
      </c>
      <c r="B147" s="250">
        <v>1</v>
      </c>
      <c r="C147" s="250">
        <v>2</v>
      </c>
      <c r="D147" s="250">
        <v>3</v>
      </c>
      <c r="E147" s="250">
        <v>4</v>
      </c>
      <c r="F147" s="106"/>
      <c r="G147" s="106"/>
      <c r="H147" s="106"/>
      <c r="I147" s="106"/>
      <c r="J147" s="106"/>
    </row>
    <row r="148" spans="1:5" ht="12.75">
      <c r="A148" s="250" t="s">
        <v>1265</v>
      </c>
      <c r="B148" s="250">
        <v>52</v>
      </c>
      <c r="C148" s="250">
        <f>B148</f>
        <v>52</v>
      </c>
      <c r="D148" s="250">
        <f>C148</f>
        <v>52</v>
      </c>
      <c r="E148" s="250">
        <f>D148</f>
        <v>52</v>
      </c>
    </row>
    <row r="150" spans="1:2" ht="12.75">
      <c r="A150" t="s">
        <v>810</v>
      </c>
      <c r="B150" s="87">
        <v>0.08</v>
      </c>
    </row>
    <row r="151" spans="1:2" ht="12.75">
      <c r="A151" t="s">
        <v>811</v>
      </c>
      <c r="B151" s="75">
        <f>SUMPRODUCT(B148:E148,POWER(1+B150,-B147:E147))</f>
        <v>172.23059568230528</v>
      </c>
    </row>
    <row r="153" spans="1:2" ht="12.75">
      <c r="A153" t="s">
        <v>812</v>
      </c>
      <c r="B153">
        <v>165</v>
      </c>
    </row>
    <row r="154" ht="12.75">
      <c r="A154" s="30" t="s">
        <v>813</v>
      </c>
    </row>
    <row r="155" spans="1:2" ht="12.75">
      <c r="A155" t="s">
        <v>1236</v>
      </c>
      <c r="B155" s="6">
        <f>B151-B153</f>
        <v>7.230595682305278</v>
      </c>
    </row>
    <row r="157" spans="1:2" ht="12.75">
      <c r="A157" s="3" t="s">
        <v>814</v>
      </c>
      <c r="B157" s="87">
        <v>0.09953280756353543</v>
      </c>
    </row>
    <row r="158" ht="12.75">
      <c r="B158" s="6">
        <f>SUMPRODUCT(B148:E148,POWER(1+B157,-B147:E147))</f>
        <v>164.999842100239</v>
      </c>
    </row>
    <row r="160" ht="14.25">
      <c r="A160" s="41" t="s">
        <v>1205</v>
      </c>
    </row>
    <row r="161" spans="1:3" ht="12.75">
      <c r="A161" t="s">
        <v>1165</v>
      </c>
      <c r="B161" s="47">
        <v>0.08</v>
      </c>
      <c r="C161" s="47">
        <v>0.15</v>
      </c>
    </row>
    <row r="162" spans="1:3" ht="12.75">
      <c r="A162" t="s">
        <v>1203</v>
      </c>
      <c r="B162">
        <v>100</v>
      </c>
      <c r="C162">
        <v>100</v>
      </c>
    </row>
    <row r="163" spans="1:3" ht="12.75">
      <c r="A163" t="s">
        <v>815</v>
      </c>
      <c r="B163" s="6">
        <f>B162/B161</f>
        <v>1250</v>
      </c>
      <c r="C163" s="6">
        <f>C162/C161</f>
        <v>666.6666666666667</v>
      </c>
    </row>
    <row r="165" spans="1:3" ht="12.75">
      <c r="A165" t="s">
        <v>717</v>
      </c>
      <c r="B165">
        <v>40</v>
      </c>
      <c r="C165">
        <v>40</v>
      </c>
    </row>
    <row r="166" spans="1:3" ht="12.75">
      <c r="A166" t="s">
        <v>816</v>
      </c>
      <c r="B166" s="6">
        <f>B162*(1-POWER(1+B161,-B165))/B161</f>
        <v>1192.4613333746324</v>
      </c>
      <c r="C166" s="6">
        <f>C162*(1-POWER(1+C161,-C165))/C161</f>
        <v>664.1778372755911</v>
      </c>
    </row>
    <row r="167" spans="2:3" ht="12.75">
      <c r="B167" s="6"/>
      <c r="C167" s="6"/>
    </row>
    <row r="168" spans="1:3" ht="12.75">
      <c r="A168" t="s">
        <v>817</v>
      </c>
      <c r="B168" s="47">
        <f>B163/B166-1</f>
        <v>0.04825201875731655</v>
      </c>
      <c r="C168" s="87">
        <f>C163/C166-1</f>
        <v>0.003747233423633478</v>
      </c>
    </row>
    <row r="170" ht="14.25">
      <c r="A170" s="41" t="s">
        <v>1206</v>
      </c>
    </row>
    <row r="171" spans="1:2" ht="12.75">
      <c r="A171" t="s">
        <v>818</v>
      </c>
      <c r="B171" s="63">
        <v>2000</v>
      </c>
    </row>
    <row r="172" spans="1:2" ht="12.75">
      <c r="A172" t="s">
        <v>384</v>
      </c>
      <c r="B172" s="47">
        <v>0.02</v>
      </c>
    </row>
    <row r="173" spans="1:2" ht="12.75">
      <c r="A173" t="s">
        <v>1166</v>
      </c>
      <c r="B173">
        <v>75</v>
      </c>
    </row>
    <row r="174" spans="1:2" ht="12.75">
      <c r="A174" t="s">
        <v>819</v>
      </c>
      <c r="B174" s="47">
        <v>0.05</v>
      </c>
    </row>
    <row r="176" spans="1:2" ht="25.5">
      <c r="A176" s="3" t="s">
        <v>820</v>
      </c>
      <c r="B176" s="63">
        <f>B171/(B174-B172)*(1-POWER((1+B172)/(1+B174),B173))</f>
        <v>59085.706881400954</v>
      </c>
    </row>
    <row r="178" ht="14.25">
      <c r="A178" s="41" t="s">
        <v>1207</v>
      </c>
    </row>
    <row r="179" spans="1:2" ht="12.75">
      <c r="A179" t="s">
        <v>821</v>
      </c>
      <c r="B179">
        <v>0.8</v>
      </c>
    </row>
    <row r="180" spans="1:2" ht="12.75">
      <c r="A180" t="s">
        <v>1165</v>
      </c>
      <c r="B180" s="87">
        <v>0.06</v>
      </c>
    </row>
    <row r="181" spans="1:2" ht="12.75">
      <c r="A181" t="s">
        <v>822</v>
      </c>
      <c r="B181" s="87">
        <f>(1+B180)*(1+B180)-1</f>
        <v>0.12360000000000015</v>
      </c>
    </row>
    <row r="182" spans="1:2" ht="12.75">
      <c r="A182" t="s">
        <v>823</v>
      </c>
      <c r="B182" s="110">
        <v>15</v>
      </c>
    </row>
    <row r="184" spans="1:2" ht="12.75">
      <c r="A184" t="s">
        <v>825</v>
      </c>
      <c r="B184" s="6">
        <f>B179/B181*(1-POWER(1+B181,-B182))</f>
        <v>5.345565495724044</v>
      </c>
    </row>
    <row r="185" spans="1:2" ht="12.75">
      <c r="A185" t="s">
        <v>824</v>
      </c>
      <c r="B185" s="6">
        <f>B179/B181</f>
        <v>6.472491909385106</v>
      </c>
    </row>
    <row r="187" ht="14.25">
      <c r="A187" s="41" t="s">
        <v>1208</v>
      </c>
    </row>
    <row r="188" spans="1:2" ht="12.75">
      <c r="A188" t="s">
        <v>826</v>
      </c>
      <c r="B188" s="63">
        <v>12000</v>
      </c>
    </row>
    <row r="189" spans="1:2" ht="12.75">
      <c r="A189" t="s">
        <v>384</v>
      </c>
      <c r="B189" s="47">
        <v>0.03</v>
      </c>
    </row>
    <row r="190" spans="1:2" ht="12.75">
      <c r="A190" t="s">
        <v>1165</v>
      </c>
      <c r="B190" s="47">
        <v>0.07</v>
      </c>
    </row>
    <row r="192" spans="1:2" ht="12.75">
      <c r="A192" t="s">
        <v>827</v>
      </c>
      <c r="B192" s="63">
        <f>B188/(B190-B189)</f>
        <v>299999.99999999994</v>
      </c>
    </row>
    <row r="194" ht="14.25">
      <c r="A194" s="41" t="s">
        <v>828</v>
      </c>
    </row>
    <row r="195" spans="1:2" ht="12.75">
      <c r="A195" t="s">
        <v>805</v>
      </c>
      <c r="B195" s="63">
        <v>50000</v>
      </c>
    </row>
    <row r="196" spans="1:2" ht="12.75">
      <c r="A196" t="s">
        <v>384</v>
      </c>
      <c r="B196" s="47">
        <v>0.04</v>
      </c>
    </row>
    <row r="198" spans="1:2" ht="12.75">
      <c r="A198" t="s">
        <v>829</v>
      </c>
      <c r="B198">
        <v>2</v>
      </c>
    </row>
    <row r="199" spans="1:2" ht="12.75">
      <c r="A199" t="s">
        <v>830</v>
      </c>
      <c r="B199" s="63">
        <v>65000</v>
      </c>
    </row>
    <row r="200" spans="1:2" ht="12.75">
      <c r="A200" t="s">
        <v>384</v>
      </c>
      <c r="B200" s="47">
        <v>0.05</v>
      </c>
    </row>
    <row r="201" spans="1:2" ht="12.75">
      <c r="A201" t="s">
        <v>831</v>
      </c>
      <c r="B201" s="63">
        <v>50000</v>
      </c>
    </row>
    <row r="203" spans="1:2" ht="12.75">
      <c r="A203" t="s">
        <v>832</v>
      </c>
      <c r="B203">
        <v>40</v>
      </c>
    </row>
    <row r="204" spans="1:2" ht="12.75">
      <c r="A204" t="s">
        <v>1183</v>
      </c>
      <c r="B204" s="47">
        <v>0.04</v>
      </c>
    </row>
    <row r="206" spans="1:2" ht="12.75">
      <c r="A206" t="s">
        <v>833</v>
      </c>
      <c r="B206" s="63">
        <f>B195*B203/(1+B204)</f>
        <v>1923076.923076923</v>
      </c>
    </row>
    <row r="207" spans="1:2" ht="12.75">
      <c r="A207" t="s">
        <v>834</v>
      </c>
      <c r="B207" s="63">
        <f>B199/(B204-B200)*(1-POWER((1+B200)/(1+B204),B203-B198))/POWER(1+B204,B198)-B201</f>
        <v>2585546.884192925</v>
      </c>
    </row>
    <row r="208" spans="1:2" ht="12.75">
      <c r="A208" t="s">
        <v>835</v>
      </c>
      <c r="B208" s="63">
        <f>B207-B206</f>
        <v>662469.9611160019</v>
      </c>
    </row>
  </sheetData>
  <printOptions/>
  <pageMargins left="0.7874015748031497" right="0.7874015748031497" top="0.984251968503937" bottom="0.984251968503937" header="0.5118110236220472" footer="0.5118110236220472"/>
  <pageSetup fitToHeight="4" fitToWidth="1" horizontalDpi="200" verticalDpi="200" orientation="landscape" paperSize="9" scale="79" r:id="rId2"/>
  <headerFooter alignWithMargins="0">
    <oddFooter>&amp;L&amp;"Verdana,Italique"&amp;9&amp;F - &amp;A&amp;C&amp;P / &amp;N&amp;R&amp;"Verdana,Italique"&amp;9&amp;D - &amp;T</oddFooter>
  </headerFooter>
  <drawing r:id="rId1"/>
</worksheet>
</file>

<file path=xl/worksheets/sheet14.xml><?xml version="1.0" encoding="utf-8"?>
<worksheet xmlns="http://schemas.openxmlformats.org/spreadsheetml/2006/main" xmlns:r="http://schemas.openxmlformats.org/officeDocument/2006/relationships">
  <sheetPr codeName="Feuil17">
    <pageSetUpPr fitToPage="1"/>
  </sheetPr>
  <dimension ref="A1:N221"/>
  <sheetViews>
    <sheetView showGridLines="0" zoomScale="75" zoomScaleNormal="75" workbookViewId="0" topLeftCell="A1">
      <selection activeCell="A1" sqref="A1"/>
    </sheetView>
  </sheetViews>
  <sheetFormatPr defaultColWidth="11.00390625" defaultRowHeight="12.75"/>
  <cols>
    <col min="1" max="1" width="18.25390625" style="0" customWidth="1"/>
    <col min="2" max="2" width="11.50390625" style="0" bestFit="1" customWidth="1"/>
  </cols>
  <sheetData>
    <row r="1" ht="14.25">
      <c r="A1" s="41" t="s">
        <v>370</v>
      </c>
    </row>
    <row r="2" spans="1:2" ht="12.75">
      <c r="A2" t="s">
        <v>917</v>
      </c>
      <c r="B2">
        <v>120</v>
      </c>
    </row>
    <row r="3" spans="1:2" ht="12.75">
      <c r="A3" t="s">
        <v>918</v>
      </c>
      <c r="B3">
        <v>172.8</v>
      </c>
    </row>
    <row r="4" spans="1:2" ht="12.75">
      <c r="A4" t="s">
        <v>1216</v>
      </c>
      <c r="B4" s="311">
        <f>B3/B2-1</f>
        <v>0.44000000000000017</v>
      </c>
    </row>
    <row r="5" spans="1:2" ht="12.75">
      <c r="A5" t="s">
        <v>1215</v>
      </c>
      <c r="B5" s="47">
        <f>SQRT(B3/B2)-1</f>
        <v>0.20000000000000018</v>
      </c>
    </row>
    <row r="6" spans="1:2" ht="25.5">
      <c r="A6" s="3" t="s">
        <v>1214</v>
      </c>
      <c r="B6" s="311">
        <f>B5/12*3</f>
        <v>0.050000000000000044</v>
      </c>
    </row>
    <row r="8" ht="14.25">
      <c r="A8" s="41" t="s">
        <v>1108</v>
      </c>
    </row>
    <row r="9" spans="1:2" ht="12.75">
      <c r="A9" t="s">
        <v>917</v>
      </c>
      <c r="B9">
        <v>100</v>
      </c>
    </row>
    <row r="10" spans="1:2" ht="12.75">
      <c r="A10" t="s">
        <v>1215</v>
      </c>
      <c r="B10" s="47">
        <v>0.14</v>
      </c>
    </row>
    <row r="11" spans="1:2" ht="12.75">
      <c r="A11" t="s">
        <v>1217</v>
      </c>
      <c r="B11">
        <v>7</v>
      </c>
    </row>
    <row r="13" spans="1:2" ht="12.75">
      <c r="A13" t="s">
        <v>919</v>
      </c>
      <c r="B13" s="108">
        <f>B9*POWER(1+B10,B11)</f>
        <v>250.2268791287042</v>
      </c>
    </row>
    <row r="15" ht="14.25">
      <c r="A15" s="41" t="s">
        <v>1118</v>
      </c>
    </row>
    <row r="16" spans="1:2" ht="12.75">
      <c r="A16" t="s">
        <v>917</v>
      </c>
      <c r="B16">
        <v>100</v>
      </c>
    </row>
    <row r="17" spans="1:2" ht="12.75">
      <c r="A17" t="s">
        <v>920</v>
      </c>
      <c r="B17">
        <v>174.9</v>
      </c>
    </row>
    <row r="18" spans="1:2" ht="12.75">
      <c r="A18" t="s">
        <v>1215</v>
      </c>
      <c r="B18" s="47">
        <v>0.15</v>
      </c>
    </row>
    <row r="19" ht="12.75">
      <c r="B19" s="47"/>
    </row>
    <row r="20" spans="1:2" ht="12.75">
      <c r="A20" t="s">
        <v>1217</v>
      </c>
      <c r="B20" s="75">
        <f>LN(B17/B16)/LN(1+B18)</f>
        <v>3.9999744317794335</v>
      </c>
    </row>
    <row r="22" ht="14.25">
      <c r="A22" s="41" t="s">
        <v>495</v>
      </c>
    </row>
    <row r="23" spans="1:2" ht="12.75">
      <c r="A23" t="s">
        <v>917</v>
      </c>
      <c r="B23" s="6">
        <v>1000</v>
      </c>
    </row>
    <row r="24" spans="1:2" ht="12.75">
      <c r="A24" t="s">
        <v>1165</v>
      </c>
      <c r="B24" s="83">
        <v>0.06</v>
      </c>
    </row>
    <row r="25" spans="1:3" ht="12.75">
      <c r="A25" t="s">
        <v>1218</v>
      </c>
      <c r="B25" s="280">
        <v>0.5</v>
      </c>
      <c r="C25" t="s">
        <v>486</v>
      </c>
    </row>
    <row r="26" spans="1:2" ht="12.75">
      <c r="A26" t="s">
        <v>1217</v>
      </c>
      <c r="B26">
        <v>4</v>
      </c>
    </row>
    <row r="28" spans="1:2" ht="12.75">
      <c r="A28" t="s">
        <v>1215</v>
      </c>
      <c r="B28" s="264">
        <f>B24*B25*(POWER(1+B24,B25)+1)</f>
        <v>0.060886890422961</v>
      </c>
    </row>
    <row r="29" spans="1:2" ht="12.75">
      <c r="A29" t="s">
        <v>920</v>
      </c>
      <c r="B29" s="6">
        <f>B23*POWER(1+B28,B26)</f>
        <v>1266.707468465913</v>
      </c>
    </row>
    <row r="31" ht="14.25">
      <c r="A31" s="41" t="s">
        <v>515</v>
      </c>
    </row>
    <row r="32" ht="12.75">
      <c r="A32" s="1" t="s">
        <v>1222</v>
      </c>
    </row>
    <row r="33" spans="1:8" ht="12.75">
      <c r="A33" t="s">
        <v>916</v>
      </c>
      <c r="B33">
        <v>0</v>
      </c>
      <c r="C33">
        <v>1</v>
      </c>
      <c r="D33">
        <v>2</v>
      </c>
      <c r="E33">
        <v>3</v>
      </c>
      <c r="F33">
        <v>4</v>
      </c>
      <c r="G33">
        <v>5</v>
      </c>
      <c r="H33">
        <v>6</v>
      </c>
    </row>
    <row r="34" spans="1:8" ht="12.75">
      <c r="A34" t="s">
        <v>1219</v>
      </c>
      <c r="B34">
        <v>-4</v>
      </c>
      <c r="C34">
        <v>1</v>
      </c>
      <c r="D34">
        <v>1</v>
      </c>
      <c r="E34">
        <v>1</v>
      </c>
      <c r="F34">
        <v>1</v>
      </c>
      <c r="G34">
        <v>1</v>
      </c>
      <c r="H34">
        <v>1</v>
      </c>
    </row>
    <row r="36" ht="12.75">
      <c r="B36" s="101"/>
    </row>
    <row r="37" spans="1:2" ht="12.75">
      <c r="A37" t="s">
        <v>1215</v>
      </c>
      <c r="B37" s="256">
        <v>0.12976959078756212</v>
      </c>
    </row>
    <row r="39" ht="12.75">
      <c r="A39" s="1" t="s">
        <v>1223</v>
      </c>
    </row>
    <row r="40" spans="1:7" ht="12.75">
      <c r="A40" t="s">
        <v>916</v>
      </c>
      <c r="B40">
        <v>0</v>
      </c>
      <c r="C40">
        <v>1</v>
      </c>
      <c r="D40">
        <v>2</v>
      </c>
      <c r="E40">
        <v>3</v>
      </c>
      <c r="F40">
        <v>4</v>
      </c>
      <c r="G40">
        <v>5</v>
      </c>
    </row>
    <row r="41" spans="1:7" ht="12.75">
      <c r="A41" t="s">
        <v>1219</v>
      </c>
      <c r="B41">
        <v>-6</v>
      </c>
      <c r="C41">
        <v>2</v>
      </c>
      <c r="D41">
        <v>2</v>
      </c>
      <c r="E41">
        <v>1.5</v>
      </c>
      <c r="F41">
        <v>1.5</v>
      </c>
      <c r="G41">
        <v>1.5</v>
      </c>
    </row>
    <row r="43" ht="12.75">
      <c r="B43" s="101"/>
    </row>
    <row r="44" spans="1:2" ht="12.75">
      <c r="A44" t="s">
        <v>1215</v>
      </c>
      <c r="B44" s="256">
        <v>0.1379931413547175</v>
      </c>
    </row>
    <row r="46" spans="1:14" ht="12.75">
      <c r="A46" t="s">
        <v>1165</v>
      </c>
      <c r="B46" s="47">
        <v>0.09</v>
      </c>
      <c r="C46" s="47">
        <f>B46+1%</f>
        <v>0.09999999999999999</v>
      </c>
      <c r="D46" s="47">
        <f aca="true" t="shared" si="0" ref="D46:I46">C46+1%</f>
        <v>0.10999999999999999</v>
      </c>
      <c r="E46" s="47">
        <f t="shared" si="0"/>
        <v>0.11999999999999998</v>
      </c>
      <c r="F46" s="47">
        <f t="shared" si="0"/>
        <v>0.12999999999999998</v>
      </c>
      <c r="G46" s="47">
        <f t="shared" si="0"/>
        <v>0.13999999999999999</v>
      </c>
      <c r="H46" s="47">
        <f t="shared" si="0"/>
        <v>0.15</v>
      </c>
      <c r="I46" s="47">
        <f t="shared" si="0"/>
        <v>0.16</v>
      </c>
      <c r="J46" s="47">
        <f>I46+1%</f>
        <v>0.17</v>
      </c>
      <c r="K46" s="47">
        <f>J46+1%</f>
        <v>0.18000000000000002</v>
      </c>
      <c r="L46" s="47">
        <f>K46+1%</f>
        <v>0.19000000000000003</v>
      </c>
      <c r="M46" s="47">
        <f>L46+1%</f>
        <v>0.20000000000000004</v>
      </c>
      <c r="N46" s="47">
        <f>M46+1%</f>
        <v>0.21000000000000005</v>
      </c>
    </row>
    <row r="47" spans="1:14" ht="12.75">
      <c r="A47" t="s">
        <v>1220</v>
      </c>
      <c r="B47" s="342">
        <f aca="true" t="shared" si="1" ref="B47:I47">SUMPRODUCT($B34:$H34,POWER(1+B46,-$B33:$H33))</f>
        <v>0.48591859023093176</v>
      </c>
      <c r="C47" s="342">
        <f t="shared" si="1"/>
        <v>0.3552606994622248</v>
      </c>
      <c r="D47" s="342">
        <f t="shared" si="1"/>
        <v>0.23053785373825852</v>
      </c>
      <c r="E47" s="342">
        <f t="shared" si="1"/>
        <v>0.1114073235223274</v>
      </c>
      <c r="F47" s="342">
        <f t="shared" si="1"/>
        <v>-0.0024502110241529373</v>
      </c>
      <c r="G47" s="342">
        <f t="shared" si="1"/>
        <v>-0.11133248345748997</v>
      </c>
      <c r="H47" s="342">
        <f t="shared" si="1"/>
        <v>-0.21551730607704078</v>
      </c>
      <c r="I47" s="342">
        <f t="shared" si="1"/>
        <v>-0.315264091671348</v>
      </c>
      <c r="J47" s="342">
        <f>SUMPRODUCT($B34:$H34,POWER(1+J46,-$B33:$H33))</f>
        <v>-0.4108152455305845</v>
      </c>
      <c r="K47" s="342">
        <f>SUMPRODUCT($B34:$H34,POWER(1+K46,-$B33:$H33))</f>
        <v>-0.502397439879748</v>
      </c>
      <c r="L47" s="342">
        <f>SUMPRODUCT($B34:$H34,POWER(1+L46,-$B33:$H33))</f>
        <v>-0.590222781649741</v>
      </c>
      <c r="M47" s="342">
        <f>SUMPRODUCT($B34:$H34,POWER(1+M46,-$B33:$H33))</f>
        <v>-0.6744898834019204</v>
      </c>
      <c r="N47" s="342">
        <f>SUMPRODUCT($B34:$H34,POWER(1+N46,-$B33:$H33))</f>
        <v>-0.755384846239794</v>
      </c>
    </row>
    <row r="48" spans="1:14" ht="12.75">
      <c r="A48" t="s">
        <v>1221</v>
      </c>
      <c r="B48" s="342">
        <f aca="true" t="shared" si="2" ref="B48:I48">SUMPRODUCT($B41:$G41,POWER(1+B46,-$B40:$G40))</f>
        <v>0.7140324879911291</v>
      </c>
      <c r="C48" s="342">
        <f t="shared" si="2"/>
        <v>0.5539487491539936</v>
      </c>
      <c r="D48" s="342">
        <f t="shared" si="2"/>
        <v>0.4001071935466777</v>
      </c>
      <c r="E48" s="342">
        <f t="shared" si="2"/>
        <v>0.25218981372159077</v>
      </c>
      <c r="F48" s="342">
        <f t="shared" si="2"/>
        <v>0.10989811010715289</v>
      </c>
      <c r="G48" s="342">
        <f t="shared" si="2"/>
        <v>-0.027048291249088918</v>
      </c>
      <c r="H48" s="342">
        <f t="shared" si="2"/>
        <v>-0.15891291063885038</v>
      </c>
      <c r="I48" s="342">
        <f t="shared" si="2"/>
        <v>-0.2859435860955416</v>
      </c>
      <c r="J48" s="342">
        <f>SUMPRODUCT($B41:$G41,POWER(1+J46,-$B40:$G40))</f>
        <v>-0.4083735530425634</v>
      </c>
      <c r="K48" s="342">
        <f>SUMPRODUCT($B41:$G41,POWER(1+K46,-$B40:$G40))</f>
        <v>-0.526422440147051</v>
      </c>
      <c r="L48" s="342">
        <f>SUMPRODUCT($B41:$G41,POWER(1+L46,-$B40:$G40))</f>
        <v>-0.6402971885835348</v>
      </c>
      <c r="M48" s="342">
        <f>SUMPRODUCT($B41:$G41,POWER(1+M46,-$B40:$G40))</f>
        <v>-0.7501929012345673</v>
      </c>
      <c r="N48" s="342">
        <f>SUMPRODUCT($B41:$G41,POWER(1+N46,-$B40:$G40))</f>
        <v>-0.8562936277468232</v>
      </c>
    </row>
    <row r="61" ht="14.25">
      <c r="A61" s="41" t="s">
        <v>1162</v>
      </c>
    </row>
    <row r="62" ht="12.75">
      <c r="A62" s="1" t="s">
        <v>1224</v>
      </c>
    </row>
    <row r="63" spans="1:2" ht="12.75">
      <c r="A63" t="s">
        <v>1165</v>
      </c>
      <c r="B63" s="83">
        <v>0.008</v>
      </c>
    </row>
    <row r="64" spans="1:2" ht="12.75">
      <c r="A64" t="s">
        <v>1226</v>
      </c>
      <c r="B64">
        <v>3</v>
      </c>
    </row>
    <row r="65" spans="1:2" ht="12.75">
      <c r="A65" t="s">
        <v>1215</v>
      </c>
      <c r="B65" s="264">
        <f>POWER(1+B63,12/B64)-1</f>
        <v>0.032386052096000206</v>
      </c>
    </row>
    <row r="67" ht="12.75">
      <c r="A67" s="1" t="s">
        <v>1225</v>
      </c>
    </row>
    <row r="68" spans="1:2" ht="12.75">
      <c r="A68" t="s">
        <v>1165</v>
      </c>
      <c r="B68" s="83">
        <v>0.016</v>
      </c>
    </row>
    <row r="69" spans="1:2" ht="12.75">
      <c r="A69" t="s">
        <v>1226</v>
      </c>
      <c r="B69">
        <v>6</v>
      </c>
    </row>
    <row r="70" spans="1:2" ht="12.75">
      <c r="A70" t="s">
        <v>1215</v>
      </c>
      <c r="B70" s="264">
        <f>POWER(1+B68,12/B69)-1</f>
        <v>0.03225600000000006</v>
      </c>
    </row>
    <row r="72" spans="1:3" ht="14.25">
      <c r="A72" s="41" t="s">
        <v>1163</v>
      </c>
      <c r="B72" s="388" t="s">
        <v>921</v>
      </c>
      <c r="C72" s="388"/>
    </row>
    <row r="73" spans="1:3" ht="12.75">
      <c r="A73" t="s">
        <v>917</v>
      </c>
      <c r="B73" s="387">
        <v>10000000</v>
      </c>
      <c r="C73" s="387"/>
    </row>
    <row r="74" spans="1:3" ht="12.75">
      <c r="A74" t="s">
        <v>920</v>
      </c>
      <c r="B74" s="387">
        <v>10019745</v>
      </c>
      <c r="C74" s="387"/>
    </row>
    <row r="75" spans="1:2" ht="12.75">
      <c r="A75" t="s">
        <v>1227</v>
      </c>
      <c r="B75">
        <v>24</v>
      </c>
    </row>
    <row r="77" spans="1:2" ht="12.75">
      <c r="A77" t="s">
        <v>1228</v>
      </c>
      <c r="B77" s="343">
        <f>(B74-B73)/B73</f>
        <v>0.0019745</v>
      </c>
    </row>
    <row r="78" spans="1:2" ht="12.75">
      <c r="A78" t="s">
        <v>1215</v>
      </c>
      <c r="B78" s="264">
        <f>POWER(1+B77,365/B75)-1</f>
        <v>0.030453758172704237</v>
      </c>
    </row>
    <row r="80" ht="14.25">
      <c r="A80" s="41" t="s">
        <v>1186</v>
      </c>
    </row>
    <row r="81" spans="1:2" ht="12.75">
      <c r="A81" t="s">
        <v>917</v>
      </c>
      <c r="B81">
        <v>100</v>
      </c>
    </row>
    <row r="82" spans="1:2" ht="12.75">
      <c r="A82" t="s">
        <v>1215</v>
      </c>
      <c r="B82" s="47">
        <v>0.07</v>
      </c>
    </row>
    <row r="83" spans="1:2" ht="12.75">
      <c r="A83" t="s">
        <v>1217</v>
      </c>
      <c r="B83">
        <v>4</v>
      </c>
    </row>
    <row r="85" ht="12.75">
      <c r="A85" s="1" t="s">
        <v>1234</v>
      </c>
    </row>
    <row r="86" spans="1:5" ht="21">
      <c r="A86" s="64" t="s">
        <v>20</v>
      </c>
      <c r="B86" s="64" t="s">
        <v>1232</v>
      </c>
      <c r="C86" s="64" t="s">
        <v>1231</v>
      </c>
      <c r="D86" s="64" t="s">
        <v>1230</v>
      </c>
      <c r="E86" s="64" t="s">
        <v>1229</v>
      </c>
    </row>
    <row r="87" spans="1:5" ht="12.75">
      <c r="A87" s="115">
        <v>1</v>
      </c>
      <c r="B87" s="23">
        <f>B81</f>
        <v>100</v>
      </c>
      <c r="C87" s="23">
        <v>29.5228</v>
      </c>
      <c r="D87" s="23">
        <f>C87-E87</f>
        <v>22.5228</v>
      </c>
      <c r="E87" s="23">
        <f>B87*$B$82</f>
        <v>7.000000000000001</v>
      </c>
    </row>
    <row r="88" spans="1:5" ht="12.75">
      <c r="A88" s="115">
        <f>A87+1</f>
        <v>2</v>
      </c>
      <c r="B88" s="23">
        <f>B87-D87</f>
        <v>77.4772</v>
      </c>
      <c r="C88" s="23">
        <f>C87</f>
        <v>29.5228</v>
      </c>
      <c r="D88" s="23">
        <f>C88-E88</f>
        <v>24.099396</v>
      </c>
      <c r="E88" s="23">
        <f>B88*$B$82</f>
        <v>5.423404000000001</v>
      </c>
    </row>
    <row r="89" spans="1:5" ht="12.75">
      <c r="A89" s="115">
        <f>A88+1</f>
        <v>3</v>
      </c>
      <c r="B89" s="23">
        <f>B88-D88</f>
        <v>53.377804</v>
      </c>
      <c r="C89" s="23">
        <f>C88</f>
        <v>29.5228</v>
      </c>
      <c r="D89" s="23">
        <f>C89-E89</f>
        <v>25.78635372</v>
      </c>
      <c r="E89" s="23">
        <f>B89*$B$82</f>
        <v>3.73644628</v>
      </c>
    </row>
    <row r="90" spans="1:5" ht="12.75">
      <c r="A90" s="115">
        <f>A89+1</f>
        <v>4</v>
      </c>
      <c r="B90" s="23">
        <f>B89-D89</f>
        <v>27.591450279999997</v>
      </c>
      <c r="C90" s="23">
        <f>C89</f>
        <v>29.5228</v>
      </c>
      <c r="D90" s="23">
        <f>C90-E90</f>
        <v>27.5913984804</v>
      </c>
      <c r="E90" s="23">
        <f>B90*$B$82</f>
        <v>1.9314015195999998</v>
      </c>
    </row>
    <row r="91" spans="1:4" ht="12.75">
      <c r="A91" s="66"/>
      <c r="D91" s="23">
        <f>SUM(D87:D90)</f>
        <v>99.9999482004</v>
      </c>
    </row>
    <row r="92" spans="1:2" ht="12.75">
      <c r="A92" s="66"/>
      <c r="B92" s="344"/>
    </row>
    <row r="93" ht="12.75">
      <c r="A93" s="66"/>
    </row>
    <row r="94" ht="12.75">
      <c r="A94" s="1" t="s">
        <v>1233</v>
      </c>
    </row>
    <row r="95" spans="1:5" ht="21">
      <c r="A95" s="64" t="s">
        <v>20</v>
      </c>
      <c r="B95" s="64" t="s">
        <v>1232</v>
      </c>
      <c r="C95" s="64" t="s">
        <v>1231</v>
      </c>
      <c r="D95" s="64" t="s">
        <v>1230</v>
      </c>
      <c r="E95" s="64" t="s">
        <v>1229</v>
      </c>
    </row>
    <row r="96" spans="1:5" ht="12.75">
      <c r="A96" s="115">
        <v>1</v>
      </c>
      <c r="B96" s="23">
        <f>B81</f>
        <v>100</v>
      </c>
      <c r="C96" s="23">
        <f>D96+E96</f>
        <v>32</v>
      </c>
      <c r="D96" s="23">
        <v>25</v>
      </c>
      <c r="E96" s="23">
        <f>B96*$B$82</f>
        <v>7.000000000000001</v>
      </c>
    </row>
    <row r="97" spans="1:5" ht="12.75">
      <c r="A97" s="115">
        <f>A96+1</f>
        <v>2</v>
      </c>
      <c r="B97" s="23">
        <f>B96-D96</f>
        <v>75</v>
      </c>
      <c r="C97" s="23">
        <f>D97+E97</f>
        <v>30.25</v>
      </c>
      <c r="D97" s="23">
        <f>D96</f>
        <v>25</v>
      </c>
      <c r="E97" s="23">
        <f>B97*$B$82</f>
        <v>5.250000000000001</v>
      </c>
    </row>
    <row r="98" spans="1:5" ht="12.75">
      <c r="A98" s="115">
        <f>A97+1</f>
        <v>3</v>
      </c>
      <c r="B98" s="23">
        <f>B97-D97</f>
        <v>50</v>
      </c>
      <c r="C98" s="23">
        <f>D98+E98</f>
        <v>28.5</v>
      </c>
      <c r="D98" s="23">
        <f>D97</f>
        <v>25</v>
      </c>
      <c r="E98" s="23">
        <f>B98*$B$82</f>
        <v>3.5000000000000004</v>
      </c>
    </row>
    <row r="99" spans="1:5" ht="12.75">
      <c r="A99" s="115">
        <f>A98+1</f>
        <v>4</v>
      </c>
      <c r="B99" s="23">
        <f>B98-D98</f>
        <v>25</v>
      </c>
      <c r="C99" s="23">
        <f>D99+E99</f>
        <v>26.75</v>
      </c>
      <c r="D99" s="23">
        <f>D98</f>
        <v>25</v>
      </c>
      <c r="E99" s="23">
        <f>B99*$B$82</f>
        <v>1.7500000000000002</v>
      </c>
    </row>
    <row r="100" spans="1:4" ht="12.75">
      <c r="A100" s="66"/>
      <c r="D100" s="23">
        <f>SUM(D96:D99)</f>
        <v>100</v>
      </c>
    </row>
    <row r="101" spans="1:2" ht="12.75">
      <c r="A101" s="66"/>
      <c r="B101" s="344"/>
    </row>
    <row r="103" ht="14.25">
      <c r="A103" s="41" t="s">
        <v>1187</v>
      </c>
    </row>
    <row r="104" spans="1:2" ht="12.75">
      <c r="A104" t="s">
        <v>917</v>
      </c>
      <c r="B104">
        <v>400</v>
      </c>
    </row>
    <row r="105" spans="1:2" ht="12.75">
      <c r="A105" t="s">
        <v>1215</v>
      </c>
      <c r="B105" s="83">
        <v>0.065</v>
      </c>
    </row>
    <row r="106" spans="1:4" ht="12.75">
      <c r="A106" t="s">
        <v>1217</v>
      </c>
      <c r="B106">
        <v>7</v>
      </c>
      <c r="D106" t="s">
        <v>791</v>
      </c>
    </row>
    <row r="107" spans="1:2" ht="12.75">
      <c r="A107" t="s">
        <v>1235</v>
      </c>
      <c r="B107">
        <v>2</v>
      </c>
    </row>
    <row r="109" ht="12.75">
      <c r="A109" s="1" t="s">
        <v>1234</v>
      </c>
    </row>
    <row r="110" spans="1:6" ht="31.5">
      <c r="A110" s="64" t="s">
        <v>20</v>
      </c>
      <c r="B110" s="64" t="s">
        <v>1232</v>
      </c>
      <c r="C110" s="64" t="s">
        <v>1231</v>
      </c>
      <c r="D110" s="64" t="s">
        <v>1230</v>
      </c>
      <c r="E110" s="64" t="s">
        <v>1229</v>
      </c>
      <c r="F110" s="113" t="s">
        <v>1237</v>
      </c>
    </row>
    <row r="111" spans="1:6" ht="12.75">
      <c r="A111" s="115">
        <v>1</v>
      </c>
      <c r="B111" s="23">
        <f>B104</f>
        <v>400</v>
      </c>
      <c r="C111" s="23"/>
      <c r="D111" s="23">
        <f aca="true" t="shared" si="3" ref="D111:D117">C111-E111</f>
        <v>0</v>
      </c>
      <c r="E111" s="23"/>
      <c r="F111" s="114">
        <f aca="true" t="shared" si="4" ref="F111:F117">B111*$B$105</f>
        <v>26</v>
      </c>
    </row>
    <row r="112" spans="1:6" ht="12.75">
      <c r="A112" s="115">
        <f aca="true" t="shared" si="5" ref="A112:A117">A111+1</f>
        <v>2</v>
      </c>
      <c r="B112" s="23">
        <f>B111-D111+F111</f>
        <v>426</v>
      </c>
      <c r="C112" s="23"/>
      <c r="D112" s="23">
        <f t="shared" si="3"/>
        <v>0</v>
      </c>
      <c r="E112" s="23"/>
      <c r="F112" s="114">
        <f t="shared" si="4"/>
        <v>27.69</v>
      </c>
    </row>
    <row r="113" spans="1:6" ht="12.75">
      <c r="A113" s="115">
        <f t="shared" si="5"/>
        <v>3</v>
      </c>
      <c r="B113" s="23">
        <f>B112-D112+F112</f>
        <v>453.69</v>
      </c>
      <c r="C113" s="23">
        <v>109.17348336260372</v>
      </c>
      <c r="D113" s="23">
        <f t="shared" si="3"/>
        <v>79.68363336260371</v>
      </c>
      <c r="E113" s="23">
        <f>IF(F113&gt;C113,C113,F113)</f>
        <v>29.48985</v>
      </c>
      <c r="F113" s="114">
        <f t="shared" si="4"/>
        <v>29.48985</v>
      </c>
    </row>
    <row r="114" spans="1:6" ht="12.75">
      <c r="A114" s="115">
        <f t="shared" si="5"/>
        <v>4</v>
      </c>
      <c r="B114" s="23">
        <f>B113-D113</f>
        <v>374.0063666373963</v>
      </c>
      <c r="C114" s="23">
        <f>C113</f>
        <v>109.17348336260372</v>
      </c>
      <c r="D114" s="23">
        <f t="shared" si="3"/>
        <v>84.86306953117295</v>
      </c>
      <c r="E114" s="23">
        <f>IF(F114&gt;C114,C114,F114)</f>
        <v>24.31041383143076</v>
      </c>
      <c r="F114" s="114">
        <f t="shared" si="4"/>
        <v>24.31041383143076</v>
      </c>
    </row>
    <row r="115" spans="1:6" ht="12.75">
      <c r="A115" s="115">
        <f t="shared" si="5"/>
        <v>5</v>
      </c>
      <c r="B115" s="23">
        <f>B114-D114</f>
        <v>289.1432971062234</v>
      </c>
      <c r="C115" s="23">
        <f>C114</f>
        <v>109.17348336260372</v>
      </c>
      <c r="D115" s="23">
        <f t="shared" si="3"/>
        <v>90.3791690506992</v>
      </c>
      <c r="E115" s="23">
        <f>IF(F115&gt;C115,C115,F115)</f>
        <v>18.794314311904518</v>
      </c>
      <c r="F115" s="114">
        <f t="shared" si="4"/>
        <v>18.794314311904518</v>
      </c>
    </row>
    <row r="116" spans="1:6" ht="12.75">
      <c r="A116" s="115">
        <f t="shared" si="5"/>
        <v>6</v>
      </c>
      <c r="B116" s="23">
        <f>B115-D115</f>
        <v>198.76412805552417</v>
      </c>
      <c r="C116" s="23">
        <f>C115</f>
        <v>109.17348336260372</v>
      </c>
      <c r="D116" s="23">
        <f t="shared" si="3"/>
        <v>96.25381503899465</v>
      </c>
      <c r="E116" s="23">
        <f>IF(F116&gt;C116,C116,F116)</f>
        <v>12.919668323609072</v>
      </c>
      <c r="F116" s="114">
        <f t="shared" si="4"/>
        <v>12.919668323609072</v>
      </c>
    </row>
    <row r="117" spans="1:6" ht="12.75">
      <c r="A117" s="115">
        <f t="shared" si="5"/>
        <v>7</v>
      </c>
      <c r="B117" s="23">
        <f>B116-D116</f>
        <v>102.51031301652952</v>
      </c>
      <c r="C117" s="23">
        <f>C116</f>
        <v>109.17348336260372</v>
      </c>
      <c r="D117" s="23">
        <f t="shared" si="3"/>
        <v>102.5103130165293</v>
      </c>
      <c r="E117" s="23">
        <f>IF(F117&gt;C117,C117,F117)</f>
        <v>6.663170346074419</v>
      </c>
      <c r="F117" s="114">
        <f t="shared" si="4"/>
        <v>6.663170346074419</v>
      </c>
    </row>
    <row r="118" spans="1:4" ht="12.75">
      <c r="A118" s="66"/>
      <c r="D118" s="23">
        <f>SUM(D111:D117)</f>
        <v>453.6899999999998</v>
      </c>
    </row>
    <row r="119" spans="1:2" ht="12.75">
      <c r="A119" s="66" t="s">
        <v>1236</v>
      </c>
      <c r="B119" s="344">
        <f>SUMPRODUCT(C111:C117,POWER(1+B105,-(A111:A117)))-B104</f>
        <v>0</v>
      </c>
    </row>
    <row r="120" spans="1:2" ht="12.75">
      <c r="A120" s="66"/>
      <c r="B120" s="344"/>
    </row>
    <row r="121" spans="1:2" ht="12.75">
      <c r="A121" s="66"/>
      <c r="B121" s="344"/>
    </row>
    <row r="122" spans="1:2" ht="12.75">
      <c r="A122" s="66"/>
      <c r="B122" s="344"/>
    </row>
    <row r="123" ht="12.75">
      <c r="A123" s="66"/>
    </row>
    <row r="124" ht="12.75">
      <c r="A124" s="1" t="s">
        <v>1233</v>
      </c>
    </row>
    <row r="125" spans="1:6" ht="31.5">
      <c r="A125" s="64" t="s">
        <v>20</v>
      </c>
      <c r="B125" s="64" t="s">
        <v>1232</v>
      </c>
      <c r="C125" s="64" t="s">
        <v>1231</v>
      </c>
      <c r="D125" s="64" t="s">
        <v>1230</v>
      </c>
      <c r="E125" s="64" t="s">
        <v>1229</v>
      </c>
      <c r="F125" s="113" t="s">
        <v>1237</v>
      </c>
    </row>
    <row r="126" spans="1:6" ht="12.75">
      <c r="A126" s="115">
        <v>1</v>
      </c>
      <c r="B126" s="23">
        <f>B104</f>
        <v>400</v>
      </c>
      <c r="C126" s="23">
        <f aca="true" t="shared" si="6" ref="C126:C132">D126+E126</f>
        <v>0</v>
      </c>
      <c r="D126" s="23"/>
      <c r="E126" s="23"/>
      <c r="F126" s="114">
        <f>B126*$B$105</f>
        <v>26</v>
      </c>
    </row>
    <row r="127" spans="1:6" ht="12.75">
      <c r="A127" s="115">
        <f aca="true" t="shared" si="7" ref="A127:A132">A126+1</f>
        <v>2</v>
      </c>
      <c r="B127" s="23">
        <f>B126-D126+F126</f>
        <v>426</v>
      </c>
      <c r="C127" s="23">
        <f t="shared" si="6"/>
        <v>0</v>
      </c>
      <c r="D127" s="23"/>
      <c r="E127" s="23"/>
      <c r="F127" s="114">
        <f aca="true" t="shared" si="8" ref="F127:F132">B127*$B$105</f>
        <v>27.69</v>
      </c>
    </row>
    <row r="128" spans="1:6" ht="12.75">
      <c r="A128" s="115">
        <f t="shared" si="7"/>
        <v>3</v>
      </c>
      <c r="B128" s="23">
        <f>B127-D127+F127</f>
        <v>453.69</v>
      </c>
      <c r="C128" s="23">
        <f t="shared" si="6"/>
        <v>120.22785</v>
      </c>
      <c r="D128" s="23">
        <f>B128/5</f>
        <v>90.738</v>
      </c>
      <c r="E128" s="23">
        <f>F128</f>
        <v>29.48985</v>
      </c>
      <c r="F128" s="114">
        <f t="shared" si="8"/>
        <v>29.48985</v>
      </c>
    </row>
    <row r="129" spans="1:6" ht="12.75">
      <c r="A129" s="115">
        <f t="shared" si="7"/>
        <v>4</v>
      </c>
      <c r="B129" s="23">
        <f>B128-D128</f>
        <v>362.952</v>
      </c>
      <c r="C129" s="23">
        <f t="shared" si="6"/>
        <v>114.32988</v>
      </c>
      <c r="D129" s="23">
        <f>D128</f>
        <v>90.738</v>
      </c>
      <c r="E129" s="23">
        <f>F129</f>
        <v>23.59188</v>
      </c>
      <c r="F129" s="114">
        <f t="shared" si="8"/>
        <v>23.59188</v>
      </c>
    </row>
    <row r="130" spans="1:6" ht="12.75">
      <c r="A130" s="115">
        <f t="shared" si="7"/>
        <v>5</v>
      </c>
      <c r="B130" s="23">
        <f>B129-D129</f>
        <v>272.214</v>
      </c>
      <c r="C130" s="23">
        <f t="shared" si="6"/>
        <v>108.43191</v>
      </c>
      <c r="D130" s="23">
        <f>D129</f>
        <v>90.738</v>
      </c>
      <c r="E130" s="23">
        <f>F130</f>
        <v>17.69391</v>
      </c>
      <c r="F130" s="114">
        <f t="shared" si="8"/>
        <v>17.69391</v>
      </c>
    </row>
    <row r="131" spans="1:6" ht="12.75">
      <c r="A131" s="115">
        <f t="shared" si="7"/>
        <v>6</v>
      </c>
      <c r="B131" s="23">
        <f>B130-D130</f>
        <v>181.476</v>
      </c>
      <c r="C131" s="23">
        <f t="shared" si="6"/>
        <v>102.53394</v>
      </c>
      <c r="D131" s="23">
        <f>D130</f>
        <v>90.738</v>
      </c>
      <c r="E131" s="23">
        <f>F131</f>
        <v>11.79594</v>
      </c>
      <c r="F131" s="114">
        <f t="shared" si="8"/>
        <v>11.79594</v>
      </c>
    </row>
    <row r="132" spans="1:6" ht="12.75">
      <c r="A132" s="115">
        <f t="shared" si="7"/>
        <v>7</v>
      </c>
      <c r="B132" s="23">
        <f>B131-D131</f>
        <v>90.738</v>
      </c>
      <c r="C132" s="23">
        <f t="shared" si="6"/>
        <v>96.63597</v>
      </c>
      <c r="D132" s="23">
        <f>D131</f>
        <v>90.738</v>
      </c>
      <c r="E132" s="23">
        <f>F132</f>
        <v>5.89797</v>
      </c>
      <c r="F132" s="114">
        <f t="shared" si="8"/>
        <v>5.89797</v>
      </c>
    </row>
    <row r="133" spans="1:4" ht="12.75">
      <c r="A133" s="66"/>
      <c r="D133" s="23">
        <f>SUM(D126:D132)</f>
        <v>453.69</v>
      </c>
    </row>
    <row r="134" spans="1:2" ht="12.75">
      <c r="A134" s="66" t="s">
        <v>1236</v>
      </c>
      <c r="B134" s="344">
        <f>SUMPRODUCT(C126:C132,POWER(1+B105,-A126:A132))-B104</f>
        <v>0</v>
      </c>
    </row>
    <row r="136" ht="14.25">
      <c r="A136" s="41" t="s">
        <v>1188</v>
      </c>
    </row>
    <row r="137" spans="1:3" ht="12.75">
      <c r="A137" t="s">
        <v>1238</v>
      </c>
      <c r="B137" s="47">
        <v>0.98</v>
      </c>
      <c r="C137" s="47">
        <v>1.01</v>
      </c>
    </row>
    <row r="138" spans="1:3" ht="12.75">
      <c r="A138" t="s">
        <v>1239</v>
      </c>
      <c r="B138" s="47">
        <v>1.08</v>
      </c>
      <c r="C138" s="47">
        <v>1.08</v>
      </c>
    </row>
    <row r="139" spans="1:3" ht="12.75">
      <c r="A139" t="s">
        <v>1240</v>
      </c>
      <c r="B139" s="47">
        <v>0.07</v>
      </c>
      <c r="C139" s="47">
        <v>0.07</v>
      </c>
    </row>
    <row r="140" spans="1:2" ht="12.75">
      <c r="A140" t="s">
        <v>1217</v>
      </c>
      <c r="B140" s="280">
        <v>10</v>
      </c>
    </row>
    <row r="142" spans="1:3" ht="12.75">
      <c r="A142" s="64" t="s">
        <v>916</v>
      </c>
      <c r="B142" s="64" t="s">
        <v>1219</v>
      </c>
      <c r="C142" s="64" t="s">
        <v>1219</v>
      </c>
    </row>
    <row r="143" spans="1:3" ht="12.75">
      <c r="A143">
        <v>0</v>
      </c>
      <c r="B143" s="47">
        <f>-B137</f>
        <v>-0.98</v>
      </c>
      <c r="C143" s="47">
        <f>-C137</f>
        <v>-1.01</v>
      </c>
    </row>
    <row r="144" spans="1:3" ht="12.75">
      <c r="A144">
        <v>1</v>
      </c>
      <c r="B144" s="47">
        <f aca="true" t="shared" si="9" ref="B144:C152">B$139</f>
        <v>0.07</v>
      </c>
      <c r="C144" s="47">
        <f t="shared" si="9"/>
        <v>0.07</v>
      </c>
    </row>
    <row r="145" spans="1:3" ht="12.75">
      <c r="A145">
        <f>A144+1</f>
        <v>2</v>
      </c>
      <c r="B145" s="47">
        <f t="shared" si="9"/>
        <v>0.07</v>
      </c>
      <c r="C145" s="47">
        <f t="shared" si="9"/>
        <v>0.07</v>
      </c>
    </row>
    <row r="146" spans="1:3" ht="12.75">
      <c r="A146">
        <f aca="true" t="shared" si="10" ref="A146:A153">A145+1</f>
        <v>3</v>
      </c>
      <c r="B146" s="47">
        <f t="shared" si="9"/>
        <v>0.07</v>
      </c>
      <c r="C146" s="47">
        <f t="shared" si="9"/>
        <v>0.07</v>
      </c>
    </row>
    <row r="147" spans="1:3" ht="12.75">
      <c r="A147">
        <f t="shared" si="10"/>
        <v>4</v>
      </c>
      <c r="B147" s="47">
        <f t="shared" si="9"/>
        <v>0.07</v>
      </c>
      <c r="C147" s="47">
        <f t="shared" si="9"/>
        <v>0.07</v>
      </c>
    </row>
    <row r="148" spans="1:3" ht="12.75">
      <c r="A148">
        <f t="shared" si="10"/>
        <v>5</v>
      </c>
      <c r="B148" s="47">
        <f t="shared" si="9"/>
        <v>0.07</v>
      </c>
      <c r="C148" s="47">
        <f t="shared" si="9"/>
        <v>0.07</v>
      </c>
    </row>
    <row r="149" spans="1:3" ht="12.75">
      <c r="A149">
        <f t="shared" si="10"/>
        <v>6</v>
      </c>
      <c r="B149" s="47">
        <f t="shared" si="9"/>
        <v>0.07</v>
      </c>
      <c r="C149" s="47">
        <f t="shared" si="9"/>
        <v>0.07</v>
      </c>
    </row>
    <row r="150" spans="1:3" ht="12.75">
      <c r="A150">
        <f t="shared" si="10"/>
        <v>7</v>
      </c>
      <c r="B150" s="47">
        <f t="shared" si="9"/>
        <v>0.07</v>
      </c>
      <c r="C150" s="47">
        <f t="shared" si="9"/>
        <v>0.07</v>
      </c>
    </row>
    <row r="151" spans="1:3" ht="12.75">
      <c r="A151">
        <f t="shared" si="10"/>
        <v>8</v>
      </c>
      <c r="B151" s="47">
        <f t="shared" si="9"/>
        <v>0.07</v>
      </c>
      <c r="C151" s="47">
        <f t="shared" si="9"/>
        <v>0.07</v>
      </c>
    </row>
    <row r="152" spans="1:3" ht="12.75">
      <c r="A152">
        <f t="shared" si="10"/>
        <v>9</v>
      </c>
      <c r="B152" s="47">
        <f t="shared" si="9"/>
        <v>0.07</v>
      </c>
      <c r="C152" s="47">
        <f t="shared" si="9"/>
        <v>0.07</v>
      </c>
    </row>
    <row r="153" spans="1:3" ht="12.75">
      <c r="A153">
        <f t="shared" si="10"/>
        <v>10</v>
      </c>
      <c r="B153" s="47">
        <f>B$139</f>
        <v>0.07</v>
      </c>
      <c r="C153" s="47">
        <f>C$139</f>
        <v>0.07</v>
      </c>
    </row>
    <row r="154" spans="1:3" ht="12.75">
      <c r="A154">
        <v>10</v>
      </c>
      <c r="B154" s="47">
        <f>B138</f>
        <v>1.08</v>
      </c>
      <c r="C154" s="47">
        <f>C138</f>
        <v>1.08</v>
      </c>
    </row>
    <row r="157" spans="1:3" ht="12.75">
      <c r="A157" t="s">
        <v>1215</v>
      </c>
      <c r="B157" s="264">
        <v>0.0783922382659549</v>
      </c>
      <c r="C157" s="264">
        <v>0.07415824466209385</v>
      </c>
    </row>
    <row r="159" ht="14.25">
      <c r="A159" s="41" t="s">
        <v>1189</v>
      </c>
    </row>
    <row r="160" spans="1:5" ht="12.75">
      <c r="A160" t="s">
        <v>1238</v>
      </c>
      <c r="B160" s="47">
        <v>0.98</v>
      </c>
      <c r="D160" t="s">
        <v>1243</v>
      </c>
      <c r="E160" s="83">
        <v>0.0035</v>
      </c>
    </row>
    <row r="161" spans="1:5" ht="12.75">
      <c r="A161" t="s">
        <v>1239</v>
      </c>
      <c r="B161" s="47">
        <v>1.08</v>
      </c>
      <c r="D161" t="s">
        <v>1241</v>
      </c>
      <c r="E161" s="83">
        <v>0.025</v>
      </c>
    </row>
    <row r="162" spans="1:5" ht="12.75">
      <c r="A162" t="s">
        <v>1240</v>
      </c>
      <c r="B162" s="47">
        <v>0.07</v>
      </c>
      <c r="D162" t="s">
        <v>1242</v>
      </c>
      <c r="E162" s="83">
        <v>0.006</v>
      </c>
    </row>
    <row r="163" spans="1:2" ht="12.75">
      <c r="A163" t="s">
        <v>1217</v>
      </c>
      <c r="B163" s="280">
        <v>10</v>
      </c>
    </row>
    <row r="165" spans="1:3" ht="12.75">
      <c r="A165" s="64" t="s">
        <v>916</v>
      </c>
      <c r="B165" s="64" t="s">
        <v>1245</v>
      </c>
      <c r="C165" s="64" t="s">
        <v>1244</v>
      </c>
    </row>
    <row r="166" spans="1:3" ht="12.75">
      <c r="A166">
        <v>0</v>
      </c>
      <c r="B166" s="47">
        <f>-B160</f>
        <v>-0.98</v>
      </c>
      <c r="C166" s="264">
        <f>B166*(1-E160)</f>
        <v>-0.97657</v>
      </c>
    </row>
    <row r="167" spans="1:3" ht="12.75">
      <c r="A167">
        <v>1</v>
      </c>
      <c r="B167" s="47">
        <f>B$162</f>
        <v>0.07</v>
      </c>
      <c r="C167" s="83">
        <f>B167*(1+E$161)</f>
        <v>0.07175</v>
      </c>
    </row>
    <row r="168" spans="1:3" ht="12.75">
      <c r="A168">
        <f>A167+1</f>
        <v>2</v>
      </c>
      <c r="B168" s="47">
        <f aca="true" t="shared" si="11" ref="B168:B176">B$162</f>
        <v>0.07</v>
      </c>
      <c r="C168" s="83">
        <f aca="true" t="shared" si="12" ref="C168:C176">B168*(1+E$161)</f>
        <v>0.07175</v>
      </c>
    </row>
    <row r="169" spans="1:3" ht="12.75">
      <c r="A169">
        <f aca="true" t="shared" si="13" ref="A169:A176">A168+1</f>
        <v>3</v>
      </c>
      <c r="B169" s="47">
        <f t="shared" si="11"/>
        <v>0.07</v>
      </c>
      <c r="C169" s="83">
        <f t="shared" si="12"/>
        <v>0.07175</v>
      </c>
    </row>
    <row r="170" spans="1:3" ht="12.75">
      <c r="A170">
        <f t="shared" si="13"/>
        <v>4</v>
      </c>
      <c r="B170" s="47">
        <f t="shared" si="11"/>
        <v>0.07</v>
      </c>
      <c r="C170" s="83">
        <f t="shared" si="12"/>
        <v>0.07175</v>
      </c>
    </row>
    <row r="171" spans="1:3" ht="12.75">
      <c r="A171">
        <f t="shared" si="13"/>
        <v>5</v>
      </c>
      <c r="B171" s="47">
        <f t="shared" si="11"/>
        <v>0.07</v>
      </c>
      <c r="C171" s="83">
        <f t="shared" si="12"/>
        <v>0.07175</v>
      </c>
    </row>
    <row r="172" spans="1:3" ht="12.75">
      <c r="A172">
        <f t="shared" si="13"/>
        <v>6</v>
      </c>
      <c r="B172" s="47">
        <f t="shared" si="11"/>
        <v>0.07</v>
      </c>
      <c r="C172" s="83">
        <f t="shared" si="12"/>
        <v>0.07175</v>
      </c>
    </row>
    <row r="173" spans="1:3" ht="12.75">
      <c r="A173">
        <f t="shared" si="13"/>
        <v>7</v>
      </c>
      <c r="B173" s="47">
        <f t="shared" si="11"/>
        <v>0.07</v>
      </c>
      <c r="C173" s="83">
        <f t="shared" si="12"/>
        <v>0.07175</v>
      </c>
    </row>
    <row r="174" spans="1:3" ht="12.75">
      <c r="A174">
        <f t="shared" si="13"/>
        <v>8</v>
      </c>
      <c r="B174" s="47">
        <f t="shared" si="11"/>
        <v>0.07</v>
      </c>
      <c r="C174" s="83">
        <f t="shared" si="12"/>
        <v>0.07175</v>
      </c>
    </row>
    <row r="175" spans="1:3" ht="12.75">
      <c r="A175">
        <f t="shared" si="13"/>
        <v>9</v>
      </c>
      <c r="B175" s="47">
        <f t="shared" si="11"/>
        <v>0.07</v>
      </c>
      <c r="C175" s="83">
        <f t="shared" si="12"/>
        <v>0.07175</v>
      </c>
    </row>
    <row r="176" spans="1:3" ht="12.75">
      <c r="A176">
        <f t="shared" si="13"/>
        <v>10</v>
      </c>
      <c r="B176" s="47">
        <f t="shared" si="11"/>
        <v>0.07</v>
      </c>
      <c r="C176" s="83">
        <f t="shared" si="12"/>
        <v>0.07175</v>
      </c>
    </row>
    <row r="177" spans="1:3" ht="12.75">
      <c r="A177">
        <v>10</v>
      </c>
      <c r="B177" s="47">
        <f>B161</f>
        <v>1.08</v>
      </c>
      <c r="C177" s="83">
        <f>B177*(1+E162)</f>
        <v>1.0864800000000001</v>
      </c>
    </row>
    <row r="180" spans="1:3" ht="12.75">
      <c r="A180" t="s">
        <v>1215</v>
      </c>
      <c r="B180" s="264">
        <v>0.0783922382659549</v>
      </c>
      <c r="C180" s="264">
        <v>0.08117069497581163</v>
      </c>
    </row>
    <row r="182" spans="1:2" ht="14.25">
      <c r="A182" s="41" t="s">
        <v>1190</v>
      </c>
      <c r="B182" s="106" t="s">
        <v>913</v>
      </c>
    </row>
    <row r="183" spans="1:2" ht="12.75">
      <c r="A183" t="s">
        <v>1246</v>
      </c>
      <c r="B183">
        <v>300</v>
      </c>
    </row>
    <row r="184" spans="1:2" ht="12.75">
      <c r="A184" t="s">
        <v>917</v>
      </c>
      <c r="B184">
        <v>100</v>
      </c>
    </row>
    <row r="185" spans="1:2" ht="12.75">
      <c r="A185" t="s">
        <v>1247</v>
      </c>
      <c r="B185">
        <v>11</v>
      </c>
    </row>
    <row r="186" spans="1:2" ht="12.75">
      <c r="A186" t="s">
        <v>1249</v>
      </c>
      <c r="B186">
        <v>20</v>
      </c>
    </row>
    <row r="188" spans="1:2" ht="12.75">
      <c r="A188" s="64" t="s">
        <v>1248</v>
      </c>
      <c r="B188" s="64" t="s">
        <v>1219</v>
      </c>
    </row>
    <row r="189" spans="1:2" ht="12.75">
      <c r="A189" s="106">
        <v>0</v>
      </c>
      <c r="B189">
        <f>B184</f>
        <v>100</v>
      </c>
    </row>
    <row r="190" spans="1:2" ht="12.75">
      <c r="A190" s="106">
        <f>A189+1</f>
        <v>1</v>
      </c>
      <c r="B190">
        <f>B$185</f>
        <v>11</v>
      </c>
    </row>
    <row r="191" spans="1:2" ht="12.75">
      <c r="A191" s="106">
        <f aca="true" t="shared" si="14" ref="A191:A209">A190+1</f>
        <v>2</v>
      </c>
      <c r="B191">
        <f aca="true" t="shared" si="15" ref="B191:B209">B$185</f>
        <v>11</v>
      </c>
    </row>
    <row r="192" spans="1:2" ht="12.75">
      <c r="A192" s="106">
        <f t="shared" si="14"/>
        <v>3</v>
      </c>
      <c r="B192">
        <f t="shared" si="15"/>
        <v>11</v>
      </c>
    </row>
    <row r="193" spans="1:2" ht="12.75">
      <c r="A193" s="106">
        <f t="shared" si="14"/>
        <v>4</v>
      </c>
      <c r="B193">
        <f t="shared" si="15"/>
        <v>11</v>
      </c>
    </row>
    <row r="194" spans="1:2" ht="12.75">
      <c r="A194" s="106">
        <f t="shared" si="14"/>
        <v>5</v>
      </c>
      <c r="B194">
        <f t="shared" si="15"/>
        <v>11</v>
      </c>
    </row>
    <row r="195" spans="1:2" ht="12.75">
      <c r="A195" s="106">
        <f t="shared" si="14"/>
        <v>6</v>
      </c>
      <c r="B195">
        <f t="shared" si="15"/>
        <v>11</v>
      </c>
    </row>
    <row r="196" spans="1:2" ht="12.75">
      <c r="A196" s="106">
        <f t="shared" si="14"/>
        <v>7</v>
      </c>
      <c r="B196">
        <f t="shared" si="15"/>
        <v>11</v>
      </c>
    </row>
    <row r="197" spans="1:2" ht="12.75">
      <c r="A197" s="106">
        <f t="shared" si="14"/>
        <v>8</v>
      </c>
      <c r="B197">
        <f t="shared" si="15"/>
        <v>11</v>
      </c>
    </row>
    <row r="198" spans="1:2" ht="12.75">
      <c r="A198" s="106">
        <f t="shared" si="14"/>
        <v>9</v>
      </c>
      <c r="B198">
        <f t="shared" si="15"/>
        <v>11</v>
      </c>
    </row>
    <row r="199" spans="1:2" ht="12.75">
      <c r="A199" s="106">
        <f t="shared" si="14"/>
        <v>10</v>
      </c>
      <c r="B199">
        <f t="shared" si="15"/>
        <v>11</v>
      </c>
    </row>
    <row r="200" spans="1:2" ht="12.75">
      <c r="A200" s="106">
        <f t="shared" si="14"/>
        <v>11</v>
      </c>
      <c r="B200">
        <f t="shared" si="15"/>
        <v>11</v>
      </c>
    </row>
    <row r="201" spans="1:2" ht="12.75">
      <c r="A201" s="106">
        <f t="shared" si="14"/>
        <v>12</v>
      </c>
      <c r="B201">
        <f t="shared" si="15"/>
        <v>11</v>
      </c>
    </row>
    <row r="202" spans="1:2" ht="12.75">
      <c r="A202" s="106">
        <f t="shared" si="14"/>
        <v>13</v>
      </c>
      <c r="B202">
        <f t="shared" si="15"/>
        <v>11</v>
      </c>
    </row>
    <row r="203" spans="1:2" ht="12.75">
      <c r="A203" s="106">
        <f t="shared" si="14"/>
        <v>14</v>
      </c>
      <c r="B203">
        <f t="shared" si="15"/>
        <v>11</v>
      </c>
    </row>
    <row r="204" spans="1:2" ht="12.75">
      <c r="A204" s="106">
        <f t="shared" si="14"/>
        <v>15</v>
      </c>
      <c r="B204">
        <f t="shared" si="15"/>
        <v>11</v>
      </c>
    </row>
    <row r="205" spans="1:2" ht="12.75">
      <c r="A205" s="106">
        <f t="shared" si="14"/>
        <v>16</v>
      </c>
      <c r="B205">
        <f t="shared" si="15"/>
        <v>11</v>
      </c>
    </row>
    <row r="206" spans="1:2" ht="12.75">
      <c r="A206" s="106">
        <f t="shared" si="14"/>
        <v>17</v>
      </c>
      <c r="B206">
        <f t="shared" si="15"/>
        <v>11</v>
      </c>
    </row>
    <row r="207" spans="1:2" ht="12.75">
      <c r="A207" s="106">
        <f t="shared" si="14"/>
        <v>18</v>
      </c>
      <c r="B207">
        <f t="shared" si="15"/>
        <v>11</v>
      </c>
    </row>
    <row r="208" spans="1:2" ht="12.75">
      <c r="A208" s="106">
        <f t="shared" si="14"/>
        <v>19</v>
      </c>
      <c r="B208">
        <f t="shared" si="15"/>
        <v>11</v>
      </c>
    </row>
    <row r="209" spans="1:2" ht="12.75">
      <c r="A209" s="106">
        <f t="shared" si="14"/>
        <v>20</v>
      </c>
      <c r="B209">
        <f t="shared" si="15"/>
        <v>11</v>
      </c>
    </row>
    <row r="210" ht="12.75">
      <c r="A210" s="106"/>
    </row>
    <row r="211" ht="12.75">
      <c r="B211" s="280"/>
    </row>
    <row r="212" spans="1:2" ht="12.75">
      <c r="A212" t="s">
        <v>1252</v>
      </c>
      <c r="B212" s="263">
        <v>0.009253975264331143</v>
      </c>
    </row>
    <row r="213" spans="1:2" ht="12.75">
      <c r="A213" t="s">
        <v>1250</v>
      </c>
      <c r="B213" s="264">
        <f>POWER(1+B212,12)-1</f>
        <v>0.11687771171787609</v>
      </c>
    </row>
    <row r="215" ht="14.25">
      <c r="A215" s="41" t="s">
        <v>1191</v>
      </c>
    </row>
    <row r="216" spans="1:2" ht="12.75">
      <c r="A216" t="s">
        <v>1251</v>
      </c>
      <c r="B216">
        <v>1000</v>
      </c>
    </row>
    <row r="217" spans="1:6" ht="12.75">
      <c r="A217" t="s">
        <v>28</v>
      </c>
      <c r="B217">
        <v>1</v>
      </c>
      <c r="C217">
        <f>B217+1</f>
        <v>2</v>
      </c>
      <c r="D217">
        <f>C217+1</f>
        <v>3</v>
      </c>
      <c r="E217">
        <f>D217+1</f>
        <v>4</v>
      </c>
      <c r="F217">
        <f>E217+1</f>
        <v>5</v>
      </c>
    </row>
    <row r="218" spans="1:6" ht="12.75">
      <c r="A218" t="s">
        <v>1219</v>
      </c>
      <c r="B218">
        <v>232</v>
      </c>
      <c r="C218">
        <v>2088</v>
      </c>
      <c r="D218">
        <v>232</v>
      </c>
      <c r="E218">
        <v>-232</v>
      </c>
      <c r="F218">
        <v>-927</v>
      </c>
    </row>
    <row r="221" spans="1:3" ht="12.75">
      <c r="A221" t="s">
        <v>1215</v>
      </c>
      <c r="B221" s="264">
        <v>-0.15117585629634148</v>
      </c>
      <c r="C221" s="264">
        <v>0.482763426942615</v>
      </c>
    </row>
  </sheetData>
  <mergeCells count="3">
    <mergeCell ref="B73:C73"/>
    <mergeCell ref="B74:C74"/>
    <mergeCell ref="B72:C72"/>
  </mergeCells>
  <printOptions/>
  <pageMargins left="0.7874015748031497" right="0.7874015748031497" top="0.984251968503937" bottom="0.984251968503937" header="0.5118110236220472" footer="0.5118110236220472"/>
  <pageSetup fitToHeight="10" fitToWidth="1" horizontalDpi="200" verticalDpi="200" orientation="landscape" paperSize="9" scale="70" r:id="rId2"/>
  <headerFooter alignWithMargins="0">
    <oddFooter>&amp;L&amp;"Verdana,Italique"&amp;9&amp;F - &amp;A&amp;C&amp;P / &amp;N&amp;R&amp;"Verdana,Italique"&amp;9&amp;D - &amp;T</oddFooter>
  </headerFooter>
  <drawing r:id="rId1"/>
</worksheet>
</file>

<file path=xl/worksheets/sheet15.xml><?xml version="1.0" encoding="utf-8"?>
<worksheet xmlns="http://schemas.openxmlformats.org/spreadsheetml/2006/main" xmlns:r="http://schemas.openxmlformats.org/officeDocument/2006/relationships">
  <sheetPr codeName="Feuil32">
    <pageSetUpPr fitToPage="1"/>
  </sheetPr>
  <dimension ref="A1:IV342"/>
  <sheetViews>
    <sheetView showGridLines="0" zoomScale="75" zoomScaleNormal="75" workbookViewId="0" topLeftCell="A1">
      <selection activeCell="A1" sqref="A1"/>
    </sheetView>
  </sheetViews>
  <sheetFormatPr defaultColWidth="11.00390625" defaultRowHeight="12.75"/>
  <cols>
    <col min="1" max="1" width="23.25390625" style="0" customWidth="1"/>
    <col min="2" max="3" width="11.625" style="0" customWidth="1"/>
    <col min="4" max="12" width="11.625" style="0" bestFit="1" customWidth="1"/>
  </cols>
  <sheetData>
    <row r="1" ht="14.25">
      <c r="A1" s="41" t="s">
        <v>370</v>
      </c>
    </row>
    <row r="2" spans="1:3" ht="12.75">
      <c r="A2" s="3" t="s">
        <v>1253</v>
      </c>
      <c r="B2" s="6">
        <v>20</v>
      </c>
      <c r="C2" t="s">
        <v>976</v>
      </c>
    </row>
    <row r="3" spans="1:3" ht="12.75">
      <c r="A3" s="3" t="s">
        <v>1255</v>
      </c>
      <c r="B3">
        <v>5</v>
      </c>
      <c r="C3" t="s">
        <v>1260</v>
      </c>
    </row>
    <row r="4" spans="1:3" ht="12.75">
      <c r="A4" s="3" t="s">
        <v>1254</v>
      </c>
      <c r="B4" s="6">
        <v>1.5</v>
      </c>
      <c r="C4" t="s">
        <v>976</v>
      </c>
    </row>
    <row r="5" spans="1:3" ht="12.75">
      <c r="A5" s="3" t="s">
        <v>1256</v>
      </c>
      <c r="B5">
        <v>8</v>
      </c>
      <c r="C5" t="s">
        <v>1260</v>
      </c>
    </row>
    <row r="6" spans="1:2" ht="12.75">
      <c r="A6" s="3" t="s">
        <v>1257</v>
      </c>
      <c r="B6" s="6">
        <v>0</v>
      </c>
    </row>
    <row r="7" spans="1:3" s="235" customFormat="1" ht="12.75">
      <c r="A7" s="235" t="s">
        <v>1258</v>
      </c>
      <c r="B7" s="352">
        <v>2.5</v>
      </c>
      <c r="C7" s="235" t="s">
        <v>976</v>
      </c>
    </row>
    <row r="8" spans="1:3" ht="12.75">
      <c r="A8" s="3" t="s">
        <v>1259</v>
      </c>
      <c r="B8" s="6">
        <v>3</v>
      </c>
      <c r="C8" t="s">
        <v>976</v>
      </c>
    </row>
    <row r="9" spans="1:2" ht="12.75">
      <c r="A9" s="3" t="s">
        <v>232</v>
      </c>
      <c r="B9" s="47">
        <v>0.4</v>
      </c>
    </row>
    <row r="11" ht="12.75">
      <c r="A11" s="154" t="s">
        <v>1261</v>
      </c>
    </row>
    <row r="12" spans="1:10" ht="12.75">
      <c r="A12" s="129" t="s">
        <v>28</v>
      </c>
      <c r="B12" s="61">
        <v>0</v>
      </c>
      <c r="C12" s="33">
        <v>1</v>
      </c>
      <c r="D12" s="33">
        <v>2</v>
      </c>
      <c r="E12" s="33">
        <v>3</v>
      </c>
      <c r="F12" s="33">
        <v>4</v>
      </c>
      <c r="G12" s="33">
        <v>5</v>
      </c>
      <c r="H12" s="33">
        <v>6</v>
      </c>
      <c r="I12" s="33">
        <v>7</v>
      </c>
      <c r="J12" s="33">
        <v>8</v>
      </c>
    </row>
    <row r="13" spans="1:10" ht="12.75">
      <c r="A13" s="3" t="s">
        <v>24</v>
      </c>
      <c r="B13" s="166">
        <f>-B2-B4</f>
        <v>-21.5</v>
      </c>
      <c r="J13" s="6">
        <f>B6</f>
        <v>0</v>
      </c>
    </row>
    <row r="14" spans="1:11" ht="12.75">
      <c r="A14" s="3" t="s">
        <v>1262</v>
      </c>
      <c r="B14" s="49"/>
      <c r="C14" s="6">
        <f>$B8</f>
        <v>3</v>
      </c>
      <c r="D14" s="6">
        <f aca="true" t="shared" si="0" ref="D14:J14">$B8</f>
        <v>3</v>
      </c>
      <c r="E14" s="6">
        <f t="shared" si="0"/>
        <v>3</v>
      </c>
      <c r="F14" s="6">
        <f t="shared" si="0"/>
        <v>3</v>
      </c>
      <c r="G14" s="6">
        <f t="shared" si="0"/>
        <v>3</v>
      </c>
      <c r="H14" s="6">
        <f t="shared" si="0"/>
        <v>3</v>
      </c>
      <c r="I14" s="6">
        <f t="shared" si="0"/>
        <v>3</v>
      </c>
      <c r="J14" s="6">
        <f t="shared" si="0"/>
        <v>3</v>
      </c>
      <c r="K14" s="6"/>
    </row>
    <row r="15" spans="1:11" ht="12.75">
      <c r="A15" s="3" t="s">
        <v>1263</v>
      </c>
      <c r="B15" s="49"/>
      <c r="C15" s="6">
        <f>-$B7</f>
        <v>-2.5</v>
      </c>
      <c r="D15" s="6"/>
      <c r="E15" s="6"/>
      <c r="F15" s="6"/>
      <c r="G15" s="6"/>
      <c r="H15" s="6"/>
      <c r="I15" s="6"/>
      <c r="J15" s="6">
        <f>-C15</f>
        <v>2.5</v>
      </c>
      <c r="K15" s="6"/>
    </row>
    <row r="16" spans="1:256" s="55" customFormat="1" ht="12.75">
      <c r="A16" s="129" t="s">
        <v>1264</v>
      </c>
      <c r="B16" s="61"/>
      <c r="C16" s="100">
        <f>-(C14-C19)*$B9</f>
        <v>0.4</v>
      </c>
      <c r="D16" s="100">
        <f aca="true" t="shared" si="1" ref="D16:J16">-(D14-D19)*$B9</f>
        <v>0.4</v>
      </c>
      <c r="E16" s="100">
        <f t="shared" si="1"/>
        <v>0.4</v>
      </c>
      <c r="F16" s="100">
        <f t="shared" si="1"/>
        <v>0.4</v>
      </c>
      <c r="G16" s="100">
        <f t="shared" si="1"/>
        <v>0.4</v>
      </c>
      <c r="H16" s="100">
        <f t="shared" si="1"/>
        <v>-1.2000000000000002</v>
      </c>
      <c r="I16" s="100">
        <f t="shared" si="1"/>
        <v>-1.2000000000000002</v>
      </c>
      <c r="J16" s="100">
        <f t="shared" si="1"/>
        <v>-1.2000000000000002</v>
      </c>
      <c r="K16" s="176"/>
      <c r="M16" s="170"/>
      <c r="N16" s="170"/>
      <c r="O16" s="170"/>
      <c r="P16" s="170"/>
      <c r="Q16" s="170"/>
      <c r="R16" s="170"/>
      <c r="S16" s="170"/>
      <c r="T16" s="170"/>
      <c r="U16" s="176"/>
      <c r="W16" s="170"/>
      <c r="X16" s="170"/>
      <c r="Y16" s="170"/>
      <c r="Z16" s="170"/>
      <c r="AA16" s="170"/>
      <c r="AB16" s="170"/>
      <c r="AC16" s="170"/>
      <c r="AD16" s="170"/>
      <c r="AE16" s="176"/>
      <c r="AG16" s="170"/>
      <c r="AH16" s="170"/>
      <c r="AI16" s="170"/>
      <c r="AJ16" s="170"/>
      <c r="AK16" s="170"/>
      <c r="AL16" s="170"/>
      <c r="AM16" s="170"/>
      <c r="AN16" s="170"/>
      <c r="AO16" s="176"/>
      <c r="AQ16" s="170"/>
      <c r="AR16" s="170"/>
      <c r="AS16" s="170"/>
      <c r="AT16" s="170"/>
      <c r="AU16" s="170"/>
      <c r="AV16" s="170"/>
      <c r="AW16" s="170"/>
      <c r="AX16" s="170"/>
      <c r="AY16" s="176"/>
      <c r="BA16" s="170"/>
      <c r="BB16" s="170"/>
      <c r="BC16" s="170"/>
      <c r="BD16" s="170"/>
      <c r="BE16" s="170"/>
      <c r="BF16" s="170"/>
      <c r="BG16" s="170"/>
      <c r="BH16" s="170"/>
      <c r="BI16" s="176"/>
      <c r="BK16" s="170"/>
      <c r="BL16" s="170"/>
      <c r="BM16" s="170"/>
      <c r="BN16" s="170"/>
      <c r="BO16" s="170"/>
      <c r="BP16" s="170"/>
      <c r="BQ16" s="170"/>
      <c r="BR16" s="170"/>
      <c r="BS16" s="176"/>
      <c r="BU16" s="170"/>
      <c r="BV16" s="170"/>
      <c r="BW16" s="170"/>
      <c r="BX16" s="170"/>
      <c r="BY16" s="170"/>
      <c r="BZ16" s="170"/>
      <c r="CA16" s="170"/>
      <c r="CB16" s="170"/>
      <c r="CC16" s="176"/>
      <c r="CE16" s="170"/>
      <c r="CF16" s="170"/>
      <c r="CG16" s="170"/>
      <c r="CH16" s="170"/>
      <c r="CI16" s="170"/>
      <c r="CJ16" s="170"/>
      <c r="CK16" s="170"/>
      <c r="CL16" s="170"/>
      <c r="CM16" s="176"/>
      <c r="CO16" s="170"/>
      <c r="CP16" s="170"/>
      <c r="CQ16" s="170"/>
      <c r="CR16" s="170"/>
      <c r="CS16" s="170"/>
      <c r="CT16" s="170"/>
      <c r="CU16" s="170"/>
      <c r="CV16" s="170"/>
      <c r="CW16" s="176"/>
      <c r="CY16" s="170"/>
      <c r="CZ16" s="170"/>
      <c r="DA16" s="170"/>
      <c r="DB16" s="170"/>
      <c r="DC16" s="170"/>
      <c r="DD16" s="170"/>
      <c r="DE16" s="170"/>
      <c r="DF16" s="170"/>
      <c r="DG16" s="176"/>
      <c r="DI16" s="170"/>
      <c r="DJ16" s="170"/>
      <c r="DK16" s="170"/>
      <c r="DL16" s="170"/>
      <c r="DM16" s="170"/>
      <c r="DN16" s="170"/>
      <c r="DO16" s="170"/>
      <c r="DP16" s="170"/>
      <c r="DQ16" s="176"/>
      <c r="DS16" s="170"/>
      <c r="DT16" s="170"/>
      <c r="DU16" s="170"/>
      <c r="DV16" s="170"/>
      <c r="DW16" s="170"/>
      <c r="DX16" s="170"/>
      <c r="DY16" s="170"/>
      <c r="DZ16" s="170"/>
      <c r="EA16" s="176"/>
      <c r="EC16" s="170"/>
      <c r="ED16" s="170"/>
      <c r="EE16" s="170"/>
      <c r="EF16" s="170"/>
      <c r="EG16" s="170"/>
      <c r="EH16" s="170"/>
      <c r="EI16" s="170"/>
      <c r="EJ16" s="170"/>
      <c r="EK16" s="176"/>
      <c r="EM16" s="170"/>
      <c r="EN16" s="170"/>
      <c r="EO16" s="170"/>
      <c r="EP16" s="170"/>
      <c r="EQ16" s="170"/>
      <c r="ER16" s="170"/>
      <c r="ES16" s="170"/>
      <c r="ET16" s="170"/>
      <c r="EU16" s="176"/>
      <c r="EW16" s="170"/>
      <c r="EX16" s="170"/>
      <c r="EY16" s="170"/>
      <c r="EZ16" s="170"/>
      <c r="FA16" s="170"/>
      <c r="FB16" s="170"/>
      <c r="FC16" s="170"/>
      <c r="FD16" s="170"/>
      <c r="FE16" s="176"/>
      <c r="FG16" s="170"/>
      <c r="FH16" s="170"/>
      <c r="FI16" s="170"/>
      <c r="FJ16" s="170"/>
      <c r="FK16" s="170"/>
      <c r="FL16" s="170"/>
      <c r="FM16" s="170"/>
      <c r="FN16" s="170"/>
      <c r="FO16" s="176"/>
      <c r="FQ16" s="170"/>
      <c r="FR16" s="170"/>
      <c r="FS16" s="170"/>
      <c r="FT16" s="170"/>
      <c r="FU16" s="170"/>
      <c r="FV16" s="170"/>
      <c r="FW16" s="170"/>
      <c r="FX16" s="170"/>
      <c r="FY16" s="176"/>
      <c r="GA16" s="170"/>
      <c r="GB16" s="170"/>
      <c r="GC16" s="170"/>
      <c r="GD16" s="170"/>
      <c r="GE16" s="170"/>
      <c r="GF16" s="170"/>
      <c r="GG16" s="170"/>
      <c r="GH16" s="170"/>
      <c r="GI16" s="176"/>
      <c r="GK16" s="170"/>
      <c r="GL16" s="170"/>
      <c r="GM16" s="170"/>
      <c r="GN16" s="170"/>
      <c r="GO16" s="170"/>
      <c r="GP16" s="170"/>
      <c r="GQ16" s="170"/>
      <c r="GR16" s="170"/>
      <c r="GS16" s="176"/>
      <c r="GU16" s="170"/>
      <c r="GV16" s="170"/>
      <c r="GW16" s="170"/>
      <c r="GX16" s="170"/>
      <c r="GY16" s="170"/>
      <c r="GZ16" s="170"/>
      <c r="HA16" s="170"/>
      <c r="HB16" s="170"/>
      <c r="HC16" s="176"/>
      <c r="HE16" s="170"/>
      <c r="HF16" s="170"/>
      <c r="HG16" s="170"/>
      <c r="HH16" s="170"/>
      <c r="HI16" s="170"/>
      <c r="HJ16" s="170"/>
      <c r="HK16" s="170"/>
      <c r="HL16" s="170"/>
      <c r="HM16" s="176"/>
      <c r="HO16" s="170"/>
      <c r="HP16" s="170"/>
      <c r="HQ16" s="170"/>
      <c r="HR16" s="170"/>
      <c r="HS16" s="170"/>
      <c r="HT16" s="170"/>
      <c r="HU16" s="170"/>
      <c r="HV16" s="170"/>
      <c r="HW16" s="176"/>
      <c r="HY16" s="170"/>
      <c r="HZ16" s="170"/>
      <c r="IA16" s="170"/>
      <c r="IB16" s="170"/>
      <c r="IC16" s="170"/>
      <c r="ID16" s="170"/>
      <c r="IE16" s="170"/>
      <c r="IF16" s="170"/>
      <c r="IG16" s="176"/>
      <c r="II16" s="170"/>
      <c r="IJ16" s="170"/>
      <c r="IK16" s="170"/>
      <c r="IL16" s="170"/>
      <c r="IM16" s="170"/>
      <c r="IN16" s="170"/>
      <c r="IO16" s="170"/>
      <c r="IP16" s="170"/>
      <c r="IQ16" s="176"/>
      <c r="IS16" s="170"/>
      <c r="IT16" s="170"/>
      <c r="IU16" s="170"/>
      <c r="IV16" s="170"/>
    </row>
    <row r="17" spans="1:10" ht="12.75">
      <c r="A17" s="1" t="s">
        <v>1265</v>
      </c>
      <c r="B17" s="185">
        <f>SUM(B13:B16)</f>
        <v>-21.5</v>
      </c>
      <c r="C17" s="134">
        <f>SUM(C13:C16)</f>
        <v>0.9</v>
      </c>
      <c r="D17" s="134">
        <f aca="true" t="shared" si="2" ref="D17:J17">SUM(D13:D16)</f>
        <v>3.4</v>
      </c>
      <c r="E17" s="134">
        <f t="shared" si="2"/>
        <v>3.4</v>
      </c>
      <c r="F17" s="134">
        <f t="shared" si="2"/>
        <v>3.4</v>
      </c>
      <c r="G17" s="134">
        <f t="shared" si="2"/>
        <v>3.4</v>
      </c>
      <c r="H17" s="134">
        <f t="shared" si="2"/>
        <v>1.7999999999999998</v>
      </c>
      <c r="I17" s="134">
        <f t="shared" si="2"/>
        <v>1.7999999999999998</v>
      </c>
      <c r="J17" s="134">
        <f t="shared" si="2"/>
        <v>4.3</v>
      </c>
    </row>
    <row r="19" spans="1:7" ht="12.75">
      <c r="A19" s="3" t="s">
        <v>1266</v>
      </c>
      <c r="B19" s="55"/>
      <c r="C19" s="6">
        <f>$B2/$B3</f>
        <v>4</v>
      </c>
      <c r="D19" s="6">
        <f>$B2/$B3</f>
        <v>4</v>
      </c>
      <c r="E19" s="6">
        <f>$B2/$B3</f>
        <v>4</v>
      </c>
      <c r="F19" s="6">
        <f>$B2/$B3</f>
        <v>4</v>
      </c>
      <c r="G19" s="6">
        <f>$B2/$B3</f>
        <v>4</v>
      </c>
    </row>
    <row r="20" spans="1:7" ht="12.75">
      <c r="A20" s="3"/>
      <c r="B20" s="55"/>
      <c r="C20" s="6"/>
      <c r="D20" s="6"/>
      <c r="E20" s="6"/>
      <c r="F20" s="6"/>
      <c r="G20" s="6"/>
    </row>
    <row r="21" ht="12.75">
      <c r="A21" s="154" t="s">
        <v>1267</v>
      </c>
    </row>
    <row r="22" spans="1:2" ht="12.75">
      <c r="A22" s="130" t="s">
        <v>1183</v>
      </c>
      <c r="B22" s="87">
        <v>0.1</v>
      </c>
    </row>
    <row r="23" spans="1:2" ht="12.75">
      <c r="A23" s="167" t="s">
        <v>1236</v>
      </c>
      <c r="B23" s="134">
        <f>SUMPRODUCT(B17:J17,POWER(1+$B22,-B12:J12))</f>
        <v>-6.938332834924629</v>
      </c>
    </row>
    <row r="25" ht="12.75">
      <c r="A25" s="154" t="s">
        <v>1268</v>
      </c>
    </row>
    <row r="26" spans="1:2" ht="12.75">
      <c r="A26" s="1" t="s">
        <v>1284</v>
      </c>
      <c r="B26" s="136">
        <v>0.008717473144399973</v>
      </c>
    </row>
    <row r="27" spans="1:2" ht="12.75">
      <c r="A27" s="168" t="s">
        <v>1236</v>
      </c>
      <c r="B27" s="6">
        <f>SUMPRODUCT(B17:J17,POWER(1+$B26,-B12:J12))</f>
        <v>1.6521216981146836E-06</v>
      </c>
    </row>
    <row r="29" ht="14.25">
      <c r="A29" s="41" t="s">
        <v>1108</v>
      </c>
    </row>
    <row r="30" ht="12.75">
      <c r="A30" s="154" t="s">
        <v>1269</v>
      </c>
    </row>
    <row r="31" spans="1:3" ht="12.75">
      <c r="A31" t="s">
        <v>1270</v>
      </c>
      <c r="B31" s="6">
        <v>2</v>
      </c>
      <c r="C31" t="s">
        <v>976</v>
      </c>
    </row>
    <row r="32" spans="1:4" ht="12.75">
      <c r="A32" t="s">
        <v>1256</v>
      </c>
      <c r="B32">
        <v>5</v>
      </c>
      <c r="C32" t="s">
        <v>1260</v>
      </c>
      <c r="D32" t="s">
        <v>1271</v>
      </c>
    </row>
    <row r="33" spans="1:3" ht="12.75">
      <c r="A33" t="s">
        <v>1257</v>
      </c>
      <c r="B33" s="6">
        <v>0</v>
      </c>
      <c r="C33" t="s">
        <v>976</v>
      </c>
    </row>
    <row r="34" spans="1:3" ht="25.5">
      <c r="A34" s="3" t="s">
        <v>1272</v>
      </c>
      <c r="B34" s="6">
        <v>0.8</v>
      </c>
      <c r="C34" t="s">
        <v>976</v>
      </c>
    </row>
    <row r="35" ht="12.75">
      <c r="A35" s="154" t="s">
        <v>1273</v>
      </c>
    </row>
    <row r="36" spans="1:3" ht="12.75">
      <c r="A36" t="s">
        <v>1274</v>
      </c>
      <c r="B36" s="6">
        <v>1.5</v>
      </c>
      <c r="C36" t="s">
        <v>976</v>
      </c>
    </row>
    <row r="37" spans="1:4" ht="12.75">
      <c r="A37" t="s">
        <v>1256</v>
      </c>
      <c r="B37">
        <v>5</v>
      </c>
      <c r="C37" t="s">
        <v>1260</v>
      </c>
      <c r="D37" t="s">
        <v>1271</v>
      </c>
    </row>
    <row r="38" spans="1:3" ht="12.75">
      <c r="A38" t="s">
        <v>1257</v>
      </c>
      <c r="B38" s="6">
        <v>0</v>
      </c>
      <c r="C38" t="s">
        <v>976</v>
      </c>
    </row>
    <row r="39" spans="1:3" ht="12.75">
      <c r="A39" s="3" t="s">
        <v>1275</v>
      </c>
      <c r="B39" s="6">
        <v>1.2</v>
      </c>
      <c r="C39" t="s">
        <v>976</v>
      </c>
    </row>
    <row r="40" spans="1:3" ht="12.75">
      <c r="A40" s="3" t="s">
        <v>1276</v>
      </c>
      <c r="B40" s="6">
        <v>1</v>
      </c>
      <c r="C40" t="s">
        <v>976</v>
      </c>
    </row>
    <row r="42" spans="1:2" ht="12.75">
      <c r="A42" t="s">
        <v>232</v>
      </c>
      <c r="B42" s="47">
        <v>0.4</v>
      </c>
    </row>
    <row r="43" spans="1:2" ht="12.75">
      <c r="A43" s="3" t="s">
        <v>1277</v>
      </c>
      <c r="B43" s="47">
        <v>0.12</v>
      </c>
    </row>
    <row r="44" ht="12.75">
      <c r="A44" s="3"/>
    </row>
    <row r="45" ht="12.75">
      <c r="A45" s="154" t="s">
        <v>1280</v>
      </c>
    </row>
    <row r="46" spans="1:7" ht="12.75">
      <c r="A46" s="129" t="s">
        <v>916</v>
      </c>
      <c r="B46" s="128">
        <v>0</v>
      </c>
      <c r="C46" s="127">
        <f>B46+1</f>
        <v>1</v>
      </c>
      <c r="D46" s="127">
        <f>C46+1</f>
        <v>2</v>
      </c>
      <c r="E46" s="127">
        <f>D46+1</f>
        <v>3</v>
      </c>
      <c r="F46" s="127">
        <f>E46+1</f>
        <v>4</v>
      </c>
      <c r="G46" s="127">
        <f>F46+1</f>
        <v>5</v>
      </c>
    </row>
    <row r="47" spans="1:7" ht="12.75">
      <c r="A47" s="3" t="s">
        <v>1269</v>
      </c>
      <c r="B47" s="166">
        <f>-B31</f>
        <v>-2</v>
      </c>
      <c r="G47" s="6">
        <f>B33</f>
        <v>0</v>
      </c>
    </row>
    <row r="48" spans="1:7" ht="12.75">
      <c r="A48" s="235" t="s">
        <v>1278</v>
      </c>
      <c r="B48" s="166">
        <f>-B54*$B42</f>
        <v>0.07999999999999999</v>
      </c>
      <c r="G48" s="6"/>
    </row>
    <row r="49" spans="1:7" ht="12.75">
      <c r="A49" s="3" t="s">
        <v>1262</v>
      </c>
      <c r="B49" s="49"/>
      <c r="C49" s="6">
        <f>B34</f>
        <v>0.8</v>
      </c>
      <c r="D49" s="6">
        <f>$B34</f>
        <v>0.8</v>
      </c>
      <c r="E49" s="6">
        <f>$B34</f>
        <v>0.8</v>
      </c>
      <c r="F49" s="6">
        <f>$B34</f>
        <v>0.8</v>
      </c>
      <c r="G49" s="6">
        <f>$B34</f>
        <v>0.8</v>
      </c>
    </row>
    <row r="50" spans="1:7" ht="12.75">
      <c r="A50" s="3" t="s">
        <v>1264</v>
      </c>
      <c r="B50" s="49"/>
      <c r="C50">
        <f>-(C49-C55)*$B42</f>
        <v>-0.27999999999999997</v>
      </c>
      <c r="D50">
        <f>-(D49-D55)*$B42</f>
        <v>-0.27999999999999997</v>
      </c>
      <c r="E50">
        <f>-(E49-E55)*$B42</f>
        <v>-0.27999999999999997</v>
      </c>
      <c r="F50">
        <f>-(F49-F55)*$B42</f>
        <v>-0.27999999999999997</v>
      </c>
      <c r="G50">
        <f>-(G49-G55)*$B42</f>
        <v>-0.16000000000000003</v>
      </c>
    </row>
    <row r="51" spans="1:7" ht="12.75">
      <c r="A51" s="129" t="s">
        <v>1281</v>
      </c>
      <c r="B51" s="169">
        <f>B40</f>
        <v>1</v>
      </c>
      <c r="C51" s="33"/>
      <c r="D51" s="33"/>
      <c r="E51" s="33"/>
      <c r="F51" s="33"/>
      <c r="G51" s="33"/>
    </row>
    <row r="52" spans="1:7" ht="25.5">
      <c r="A52" s="3" t="s">
        <v>1279</v>
      </c>
      <c r="B52" s="171">
        <f aca="true" t="shared" si="3" ref="B52:G52">SUM(B47:B51)</f>
        <v>-0.9199999999999999</v>
      </c>
      <c r="C52" s="170">
        <f t="shared" si="3"/>
        <v>0.52</v>
      </c>
      <c r="D52" s="170">
        <f t="shared" si="3"/>
        <v>0.52</v>
      </c>
      <c r="E52" s="170">
        <f t="shared" si="3"/>
        <v>0.52</v>
      </c>
      <c r="F52" s="170">
        <f t="shared" si="3"/>
        <v>0.52</v>
      </c>
      <c r="G52" s="170">
        <f t="shared" si="3"/>
        <v>0.64</v>
      </c>
    </row>
    <row r="53" ht="12.75">
      <c r="A53" s="3"/>
    </row>
    <row r="54" spans="1:2" ht="12.75">
      <c r="A54" s="3" t="s">
        <v>1282</v>
      </c>
      <c r="B54" s="6">
        <f>B40-B39</f>
        <v>-0.19999999999999996</v>
      </c>
    </row>
    <row r="55" spans="1:7" ht="12.75">
      <c r="A55" s="3" t="s">
        <v>1283</v>
      </c>
      <c r="B55" s="49"/>
      <c r="C55" s="6">
        <f>$B31/$B32-$B36/$B37</f>
        <v>0.10000000000000003</v>
      </c>
      <c r="D55" s="6">
        <f>$B31/$B32-$B36/$B37</f>
        <v>0.10000000000000003</v>
      </c>
      <c r="E55" s="6">
        <f>$B31/$B32-$B36/$B37</f>
        <v>0.10000000000000003</v>
      </c>
      <c r="F55" s="6">
        <f>$B31/$B32-$B36/$B37</f>
        <v>0.10000000000000003</v>
      </c>
      <c r="G55" s="6">
        <f>$B31/$B32</f>
        <v>0.4</v>
      </c>
    </row>
    <row r="56" ht="12.75">
      <c r="A56" s="3"/>
    </row>
    <row r="57" spans="1:3" ht="12.75">
      <c r="A57" s="2" t="s">
        <v>1236</v>
      </c>
      <c r="B57" s="134">
        <f>SUMPRODUCT(B52:G52,POWER(1+B43,-B46:G46))</f>
        <v>1.0225748479056342</v>
      </c>
      <c r="C57" t="s">
        <v>976</v>
      </c>
    </row>
    <row r="58" spans="1:2" ht="12.75">
      <c r="A58" s="2" t="s">
        <v>1284</v>
      </c>
      <c r="B58" s="172">
        <v>0.4991760350804994</v>
      </c>
    </row>
    <row r="59" spans="1:2" ht="12.75">
      <c r="A59" s="15"/>
      <c r="B59" s="173"/>
    </row>
    <row r="61" ht="14.25">
      <c r="A61" s="41" t="s">
        <v>1118</v>
      </c>
    </row>
    <row r="62" spans="1:7" ht="12.75">
      <c r="A62" t="s">
        <v>20</v>
      </c>
      <c r="B62" s="106">
        <v>0</v>
      </c>
      <c r="C62" s="106">
        <f>B62+1</f>
        <v>1</v>
      </c>
      <c r="D62" s="106">
        <f>C62+1</f>
        <v>2</v>
      </c>
      <c r="E62" s="106">
        <f>D62+1</f>
        <v>3</v>
      </c>
      <c r="F62" s="106">
        <f>E62+1</f>
        <v>4</v>
      </c>
      <c r="G62" s="106">
        <f>F62+1</f>
        <v>5</v>
      </c>
    </row>
    <row r="63" spans="1:7" ht="12.75">
      <c r="A63" s="3" t="s">
        <v>1265</v>
      </c>
      <c r="B63" s="6">
        <v>-100</v>
      </c>
      <c r="C63" s="6">
        <v>110</v>
      </c>
      <c r="D63" s="6">
        <v>-30</v>
      </c>
      <c r="E63" s="6">
        <v>25</v>
      </c>
      <c r="F63" s="6">
        <v>50</v>
      </c>
      <c r="G63" s="6">
        <v>100</v>
      </c>
    </row>
    <row r="64" spans="1:8" ht="12.75">
      <c r="A64" s="3"/>
      <c r="B64" s="6"/>
      <c r="C64" s="6"/>
      <c r="D64" s="6"/>
      <c r="E64" s="6"/>
      <c r="F64" s="6"/>
      <c r="G64" s="6"/>
      <c r="H64" s="6"/>
    </row>
    <row r="65" spans="1:2" ht="12.75">
      <c r="A65" s="3" t="s">
        <v>1183</v>
      </c>
      <c r="B65" s="47">
        <v>0</v>
      </c>
    </row>
    <row r="66" spans="1:7" ht="25.5">
      <c r="A66" s="3" t="s">
        <v>1285</v>
      </c>
      <c r="B66" s="6">
        <f>SUMPRODUCT($B63:B63,POWER(1+$B65,-$B62:B62))</f>
        <v>-100</v>
      </c>
      <c r="C66" s="6">
        <f>SUMPRODUCT($B63:C63,POWER(1+$B65,-$B62:C62))</f>
        <v>10</v>
      </c>
      <c r="D66" s="6">
        <f>SUMPRODUCT($B63:D63,POWER(1+$B65,-$B62:D62))</f>
        <v>-20</v>
      </c>
      <c r="E66" s="6">
        <f>SUMPRODUCT($B63:E63,POWER(1+$B65,-$B62:E62))</f>
        <v>5</v>
      </c>
      <c r="F66" s="6">
        <f>SUMPRODUCT($B63:F63,POWER(1+$B65,-$B62:F62))</f>
        <v>55</v>
      </c>
      <c r="G66" s="6">
        <f>SUMPRODUCT($B63:G63,POWER(1+$B65,-$B62:G62))</f>
        <v>155</v>
      </c>
    </row>
    <row r="67" ht="12.75">
      <c r="B67" s="6"/>
    </row>
    <row r="68" spans="1:2" ht="12.75">
      <c r="A68" s="3" t="s">
        <v>1277</v>
      </c>
      <c r="B68" s="87">
        <v>0.1</v>
      </c>
    </row>
    <row r="69" spans="1:7" ht="12.75">
      <c r="A69" s="2" t="s">
        <v>1236</v>
      </c>
      <c r="B69" s="317">
        <f>SUMPRODUCT($B63:G63,POWER(1+$B68,-$B62:G62))</f>
        <v>90.2322866669564</v>
      </c>
      <c r="C69" s="309" t="s">
        <v>1286</v>
      </c>
      <c r="D69" s="309"/>
      <c r="E69" s="309"/>
      <c r="F69" s="309"/>
      <c r="G69" s="309"/>
    </row>
    <row r="70" spans="1:2" ht="12.75">
      <c r="A70" s="2" t="s">
        <v>1284</v>
      </c>
      <c r="B70" s="88">
        <v>0.42640162762533135</v>
      </c>
    </row>
    <row r="71" spans="1:2" ht="12.75">
      <c r="A71" s="3" t="s">
        <v>1236</v>
      </c>
      <c r="B71" s="173">
        <f>SUMPRODUCT($B63:G63,POWER(1+$B70,-$B62:G62))</f>
        <v>7.325322570750359E-09</v>
      </c>
    </row>
    <row r="73" ht="14.25">
      <c r="A73" s="41" t="s">
        <v>495</v>
      </c>
    </row>
    <row r="74" spans="1:3" ht="12.75">
      <c r="A74" t="s">
        <v>1288</v>
      </c>
      <c r="B74">
        <v>2</v>
      </c>
      <c r="C74" t="s">
        <v>976</v>
      </c>
    </row>
    <row r="75" spans="1:3" ht="12.75">
      <c r="A75" t="s">
        <v>1166</v>
      </c>
      <c r="B75">
        <v>10</v>
      </c>
      <c r="C75" t="s">
        <v>1260</v>
      </c>
    </row>
    <row r="76" spans="1:3" ht="12.75">
      <c r="A76" t="s">
        <v>1287</v>
      </c>
      <c r="B76">
        <v>0.8</v>
      </c>
      <c r="C76" t="s">
        <v>976</v>
      </c>
    </row>
    <row r="77" spans="1:3" ht="12.75">
      <c r="A77" s="3" t="s">
        <v>1262</v>
      </c>
      <c r="B77">
        <v>-0.2</v>
      </c>
      <c r="C77" t="s">
        <v>976</v>
      </c>
    </row>
    <row r="79" ht="12.75">
      <c r="A79" t="s">
        <v>1289</v>
      </c>
    </row>
    <row r="80" spans="1:12" ht="12.75">
      <c r="A80" s="54" t="s">
        <v>979</v>
      </c>
      <c r="B80" s="127">
        <v>0</v>
      </c>
      <c r="C80" s="127">
        <f>B80+1</f>
        <v>1</v>
      </c>
      <c r="D80" s="127">
        <f aca="true" t="shared" si="4" ref="D80:L80">C80+1</f>
        <v>2</v>
      </c>
      <c r="E80" s="127">
        <f t="shared" si="4"/>
        <v>3</v>
      </c>
      <c r="F80" s="127">
        <f t="shared" si="4"/>
        <v>4</v>
      </c>
      <c r="G80" s="127">
        <f t="shared" si="4"/>
        <v>5</v>
      </c>
      <c r="H80" s="127">
        <f t="shared" si="4"/>
        <v>6</v>
      </c>
      <c r="I80" s="127">
        <f t="shared" si="4"/>
        <v>7</v>
      </c>
      <c r="J80" s="127">
        <f t="shared" si="4"/>
        <v>8</v>
      </c>
      <c r="K80" s="127">
        <f t="shared" si="4"/>
        <v>9</v>
      </c>
      <c r="L80" s="127">
        <f t="shared" si="4"/>
        <v>10</v>
      </c>
    </row>
    <row r="81" spans="1:12" ht="12.75">
      <c r="A81" s="59" t="s">
        <v>977</v>
      </c>
      <c r="B81" s="6">
        <f>B74</f>
        <v>2</v>
      </c>
      <c r="C81" s="6"/>
      <c r="D81" s="6"/>
      <c r="E81" s="6"/>
      <c r="F81" s="6"/>
      <c r="G81" s="6"/>
      <c r="H81" s="6"/>
      <c r="I81" s="6"/>
      <c r="J81" s="6"/>
      <c r="K81" s="6"/>
      <c r="L81" s="6"/>
    </row>
    <row r="82" spans="1:12" ht="12.75">
      <c r="A82" s="59" t="s">
        <v>1290</v>
      </c>
      <c r="B82" s="6">
        <f>-B76</f>
        <v>-0.8</v>
      </c>
      <c r="C82" s="6"/>
      <c r="D82" s="6"/>
      <c r="E82" s="6"/>
      <c r="F82" s="6"/>
      <c r="G82" s="6"/>
      <c r="H82" s="6"/>
      <c r="I82" s="6"/>
      <c r="J82" s="6"/>
      <c r="K82" s="6"/>
      <c r="L82" s="6"/>
    </row>
    <row r="83" spans="1:12" ht="12.75">
      <c r="A83" s="174" t="s">
        <v>1262</v>
      </c>
      <c r="B83" s="100"/>
      <c r="C83" s="100">
        <f>$B77</f>
        <v>-0.2</v>
      </c>
      <c r="D83" s="100">
        <f aca="true" t="shared" si="5" ref="D83:L83">$B77</f>
        <v>-0.2</v>
      </c>
      <c r="E83" s="100">
        <f t="shared" si="5"/>
        <v>-0.2</v>
      </c>
      <c r="F83" s="100">
        <f t="shared" si="5"/>
        <v>-0.2</v>
      </c>
      <c r="G83" s="100">
        <f t="shared" si="5"/>
        <v>-0.2</v>
      </c>
      <c r="H83" s="100">
        <f t="shared" si="5"/>
        <v>-0.2</v>
      </c>
      <c r="I83" s="100">
        <f t="shared" si="5"/>
        <v>-0.2</v>
      </c>
      <c r="J83" s="100">
        <f t="shared" si="5"/>
        <v>-0.2</v>
      </c>
      <c r="K83" s="100">
        <f t="shared" si="5"/>
        <v>-0.2</v>
      </c>
      <c r="L83" s="100">
        <f t="shared" si="5"/>
        <v>-0.2</v>
      </c>
    </row>
    <row r="84" spans="1:12" ht="12.75">
      <c r="A84" s="59" t="s">
        <v>1265</v>
      </c>
      <c r="B84" s="6">
        <f>SUM(B81:B83)</f>
        <v>1.2</v>
      </c>
      <c r="C84" s="6">
        <f aca="true" t="shared" si="6" ref="C84:L84">SUM(C81:C83)</f>
        <v>-0.2</v>
      </c>
      <c r="D84" s="6">
        <f t="shared" si="6"/>
        <v>-0.2</v>
      </c>
      <c r="E84" s="6">
        <f t="shared" si="6"/>
        <v>-0.2</v>
      </c>
      <c r="F84" s="6">
        <f t="shared" si="6"/>
        <v>-0.2</v>
      </c>
      <c r="G84" s="6">
        <f t="shared" si="6"/>
        <v>-0.2</v>
      </c>
      <c r="H84" s="6">
        <f t="shared" si="6"/>
        <v>-0.2</v>
      </c>
      <c r="I84" s="6">
        <f t="shared" si="6"/>
        <v>-0.2</v>
      </c>
      <c r="J84" s="6">
        <f t="shared" si="6"/>
        <v>-0.2</v>
      </c>
      <c r="K84" s="6">
        <f t="shared" si="6"/>
        <v>-0.2</v>
      </c>
      <c r="L84" s="6">
        <f t="shared" si="6"/>
        <v>-0.2</v>
      </c>
    </row>
    <row r="86" spans="1:7" ht="12.75">
      <c r="A86" s="3" t="s">
        <v>1277</v>
      </c>
      <c r="B86" s="47">
        <v>0.1</v>
      </c>
      <c r="C86" s="47">
        <f>B86+1%</f>
        <v>0.11</v>
      </c>
      <c r="D86" s="47">
        <f>C86+1%</f>
        <v>0.12</v>
      </c>
      <c r="E86" s="47">
        <f>D86+1%</f>
        <v>0.13</v>
      </c>
      <c r="F86" s="47">
        <f>E86+1%</f>
        <v>0.14</v>
      </c>
      <c r="G86" s="47">
        <f>F86+1%</f>
        <v>0.15000000000000002</v>
      </c>
    </row>
    <row r="87" spans="1:7" ht="12.75">
      <c r="A87" s="2" t="s">
        <v>1236</v>
      </c>
      <c r="B87" s="134">
        <f aca="true" t="shared" si="7" ref="B87:G87">SUMPRODUCT($B84:$L84,POWER(1+B86,-$B80:$L80))</f>
        <v>-0.028913421140936243</v>
      </c>
      <c r="C87" s="134">
        <f t="shared" si="7"/>
        <v>0.02215359777175893</v>
      </c>
      <c r="D87" s="134">
        <f t="shared" si="7"/>
        <v>0.06995539431782723</v>
      </c>
      <c r="E87" s="134">
        <f t="shared" si="7"/>
        <v>0.11475130480942275</v>
      </c>
      <c r="F87" s="134">
        <f t="shared" si="7"/>
        <v>0.1567768707412846</v>
      </c>
      <c r="G87" s="134">
        <f t="shared" si="7"/>
        <v>0.19624627482915372</v>
      </c>
    </row>
    <row r="100" ht="14.25">
      <c r="A100" s="41" t="s">
        <v>515</v>
      </c>
    </row>
    <row r="101" spans="1:2" ht="12.75">
      <c r="A101" t="s">
        <v>1291</v>
      </c>
      <c r="B101" s="23">
        <v>78000</v>
      </c>
    </row>
    <row r="102" spans="1:3" ht="12.75">
      <c r="A102" t="s">
        <v>1292</v>
      </c>
      <c r="B102" s="23">
        <v>3</v>
      </c>
      <c r="C102" t="s">
        <v>931</v>
      </c>
    </row>
    <row r="103" spans="1:2" ht="12.75">
      <c r="A103" t="s">
        <v>232</v>
      </c>
      <c r="B103" s="47">
        <v>0.35</v>
      </c>
    </row>
    <row r="104" spans="1:2" ht="12.75">
      <c r="A104" s="3" t="s">
        <v>1277</v>
      </c>
      <c r="B104" s="47">
        <v>0.1</v>
      </c>
    </row>
    <row r="106" spans="1:3" ht="12.75">
      <c r="A106" t="s">
        <v>1293</v>
      </c>
      <c r="B106" s="23">
        <v>5</v>
      </c>
      <c r="C106" t="s">
        <v>931</v>
      </c>
    </row>
    <row r="108" spans="1:2" ht="12.75">
      <c r="A108" t="s">
        <v>785</v>
      </c>
      <c r="B108" s="108">
        <v>7000</v>
      </c>
    </row>
    <row r="110" ht="12.75">
      <c r="A110" s="154" t="s">
        <v>487</v>
      </c>
    </row>
    <row r="111" spans="1:12" ht="12.75">
      <c r="A111" s="54" t="s">
        <v>979</v>
      </c>
      <c r="B111" s="127">
        <v>0</v>
      </c>
      <c r="C111" s="127">
        <f>B111+1</f>
        <v>1</v>
      </c>
      <c r="D111" s="127">
        <f aca="true" t="shared" si="8" ref="D111:L111">C111+1</f>
        <v>2</v>
      </c>
      <c r="E111" s="127">
        <f t="shared" si="8"/>
        <v>3</v>
      </c>
      <c r="F111" s="127">
        <f t="shared" si="8"/>
        <v>4</v>
      </c>
      <c r="G111" s="127">
        <f t="shared" si="8"/>
        <v>5</v>
      </c>
      <c r="H111" s="127">
        <f t="shared" si="8"/>
        <v>6</v>
      </c>
      <c r="I111" s="127">
        <f t="shared" si="8"/>
        <v>7</v>
      </c>
      <c r="J111" s="127">
        <f t="shared" si="8"/>
        <v>8</v>
      </c>
      <c r="K111" s="127">
        <f t="shared" si="8"/>
        <v>9</v>
      </c>
      <c r="L111" s="127">
        <f t="shared" si="8"/>
        <v>10</v>
      </c>
    </row>
    <row r="112" spans="1:12" ht="12.75">
      <c r="A112" s="353" t="s">
        <v>1294</v>
      </c>
      <c r="B112" s="23">
        <f>-B101</f>
        <v>-78000</v>
      </c>
      <c r="C112" s="23"/>
      <c r="D112" s="23"/>
      <c r="E112" s="23"/>
      <c r="F112" s="23"/>
      <c r="G112" s="23"/>
      <c r="H112" s="23"/>
      <c r="I112" s="23"/>
      <c r="J112" s="23"/>
      <c r="K112" s="23"/>
      <c r="L112" s="23"/>
    </row>
    <row r="113" spans="1:12" ht="12.75">
      <c r="A113" s="186" t="s">
        <v>983</v>
      </c>
      <c r="B113" s="23"/>
      <c r="C113" s="23">
        <f>$B108*($B106-$B102)</f>
        <v>14000</v>
      </c>
      <c r="D113" s="23">
        <f aca="true" t="shared" si="9" ref="D113:L113">$B108*($B106-$B102)</f>
        <v>14000</v>
      </c>
      <c r="E113" s="23">
        <f t="shared" si="9"/>
        <v>14000</v>
      </c>
      <c r="F113" s="23">
        <f t="shared" si="9"/>
        <v>14000</v>
      </c>
      <c r="G113" s="23">
        <f t="shared" si="9"/>
        <v>14000</v>
      </c>
      <c r="H113" s="23">
        <f t="shared" si="9"/>
        <v>14000</v>
      </c>
      <c r="I113" s="23">
        <f t="shared" si="9"/>
        <v>14000</v>
      </c>
      <c r="J113" s="23">
        <f t="shared" si="9"/>
        <v>14000</v>
      </c>
      <c r="K113" s="23">
        <f t="shared" si="9"/>
        <v>14000</v>
      </c>
      <c r="L113" s="23">
        <f t="shared" si="9"/>
        <v>14000</v>
      </c>
    </row>
    <row r="114" spans="1:12" ht="12.75">
      <c r="A114" s="354" t="s">
        <v>1295</v>
      </c>
      <c r="B114" s="38"/>
      <c r="C114" s="38">
        <f>-(C113-C117)*$B103</f>
        <v>-2170</v>
      </c>
      <c r="D114" s="38">
        <f aca="true" t="shared" si="10" ref="D114:L114">-(D113-D117)*$B103</f>
        <v>-2170</v>
      </c>
      <c r="E114" s="38">
        <f t="shared" si="10"/>
        <v>-2170</v>
      </c>
      <c r="F114" s="38">
        <f t="shared" si="10"/>
        <v>-2170</v>
      </c>
      <c r="G114" s="38">
        <f t="shared" si="10"/>
        <v>-2170</v>
      </c>
      <c r="H114" s="38">
        <f t="shared" si="10"/>
        <v>-2170</v>
      </c>
      <c r="I114" s="38">
        <f t="shared" si="10"/>
        <v>-2170</v>
      </c>
      <c r="J114" s="38">
        <f t="shared" si="10"/>
        <v>-2170</v>
      </c>
      <c r="K114" s="38">
        <f t="shared" si="10"/>
        <v>-2170</v>
      </c>
      <c r="L114" s="38">
        <f t="shared" si="10"/>
        <v>-2170</v>
      </c>
    </row>
    <row r="115" spans="1:12" ht="12.75">
      <c r="A115" s="59" t="s">
        <v>1265</v>
      </c>
      <c r="B115" s="23">
        <f aca="true" t="shared" si="11" ref="B115:L115">SUM(B112:B114)</f>
        <v>-78000</v>
      </c>
      <c r="C115" s="23">
        <f t="shared" si="11"/>
        <v>11830</v>
      </c>
      <c r="D115" s="23">
        <f t="shared" si="11"/>
        <v>11830</v>
      </c>
      <c r="E115" s="23">
        <f t="shared" si="11"/>
        <v>11830</v>
      </c>
      <c r="F115" s="23">
        <f t="shared" si="11"/>
        <v>11830</v>
      </c>
      <c r="G115" s="23">
        <f t="shared" si="11"/>
        <v>11830</v>
      </c>
      <c r="H115" s="23">
        <f t="shared" si="11"/>
        <v>11830</v>
      </c>
      <c r="I115" s="23">
        <f t="shared" si="11"/>
        <v>11830</v>
      </c>
      <c r="J115" s="23">
        <f t="shared" si="11"/>
        <v>11830</v>
      </c>
      <c r="K115" s="23">
        <f t="shared" si="11"/>
        <v>11830</v>
      </c>
      <c r="L115" s="23">
        <f t="shared" si="11"/>
        <v>11830</v>
      </c>
    </row>
    <row r="116" spans="2:12" ht="12.75">
      <c r="B116" s="23"/>
      <c r="C116" s="23"/>
      <c r="D116" s="23"/>
      <c r="E116" s="23"/>
      <c r="F116" s="23"/>
      <c r="G116" s="23"/>
      <c r="H116" s="23"/>
      <c r="I116" s="23"/>
      <c r="J116" s="23"/>
      <c r="K116" s="23"/>
      <c r="L116" s="23"/>
    </row>
    <row r="117" spans="1:12" ht="12.75">
      <c r="A117" s="55" t="s">
        <v>1266</v>
      </c>
      <c r="B117" s="58"/>
      <c r="C117" s="23">
        <f aca="true" t="shared" si="12" ref="C117:L117">$B101/10</f>
        <v>7800</v>
      </c>
      <c r="D117" s="23">
        <f t="shared" si="12"/>
        <v>7800</v>
      </c>
      <c r="E117" s="23">
        <f t="shared" si="12"/>
        <v>7800</v>
      </c>
      <c r="F117" s="23">
        <f t="shared" si="12"/>
        <v>7800</v>
      </c>
      <c r="G117" s="23">
        <f t="shared" si="12"/>
        <v>7800</v>
      </c>
      <c r="H117" s="23">
        <f t="shared" si="12"/>
        <v>7800</v>
      </c>
      <c r="I117" s="23">
        <f t="shared" si="12"/>
        <v>7800</v>
      </c>
      <c r="J117" s="23">
        <f t="shared" si="12"/>
        <v>7800</v>
      </c>
      <c r="K117" s="23">
        <f t="shared" si="12"/>
        <v>7800</v>
      </c>
      <c r="L117" s="23">
        <f t="shared" si="12"/>
        <v>7800</v>
      </c>
    </row>
    <row r="118" spans="1:12" ht="12.75">
      <c r="A118" s="55"/>
      <c r="B118" s="23"/>
      <c r="C118" s="23"/>
      <c r="D118" s="23"/>
      <c r="E118" s="23"/>
      <c r="F118" s="23"/>
      <c r="G118" s="23"/>
      <c r="H118" s="23"/>
      <c r="I118" s="23"/>
      <c r="J118" s="23"/>
      <c r="K118" s="23"/>
      <c r="L118" s="23"/>
    </row>
    <row r="119" spans="1:12" ht="12.75">
      <c r="A119" s="1" t="s">
        <v>1236</v>
      </c>
      <c r="B119" s="40">
        <f>SUMPRODUCT(B115:L115,POWER(1+B104,-B111:L111))</f>
        <v>-5309.771139513625</v>
      </c>
      <c r="C119" s="177" t="s">
        <v>1</v>
      </c>
      <c r="D119" s="23"/>
      <c r="E119" s="23"/>
      <c r="F119" s="23"/>
      <c r="G119" s="23"/>
      <c r="H119" s="23"/>
      <c r="I119" s="23"/>
      <c r="J119" s="23"/>
      <c r="K119" s="23"/>
      <c r="L119" s="23"/>
    </row>
    <row r="120" spans="1:12" ht="12.75">
      <c r="A120" s="1"/>
      <c r="B120" s="40"/>
      <c r="C120" s="177"/>
      <c r="D120" s="23"/>
      <c r="E120" s="23"/>
      <c r="F120" s="23"/>
      <c r="G120" s="23"/>
      <c r="H120" s="23"/>
      <c r="I120" s="23"/>
      <c r="J120" s="23"/>
      <c r="K120" s="23"/>
      <c r="L120" s="23"/>
    </row>
    <row r="121" spans="1:12" ht="12.75">
      <c r="A121" t="s">
        <v>0</v>
      </c>
      <c r="B121">
        <v>7000</v>
      </c>
      <c r="C121">
        <v>8000</v>
      </c>
      <c r="D121">
        <v>9000</v>
      </c>
      <c r="E121">
        <v>10000</v>
      </c>
      <c r="F121" s="23"/>
      <c r="G121" s="23"/>
      <c r="H121" s="23"/>
      <c r="I121" s="23"/>
      <c r="J121" s="23"/>
      <c r="K121" s="23"/>
      <c r="L121" s="23"/>
    </row>
    <row r="122" spans="1:12" ht="12.75">
      <c r="A122" s="1" t="s">
        <v>1236</v>
      </c>
      <c r="B122" s="65">
        <v>-5309.771139513625</v>
      </c>
      <c r="C122" s="187">
        <v>2678.166097902449</v>
      </c>
      <c r="D122" s="65">
        <v>10666.103335318534</v>
      </c>
      <c r="E122" s="65">
        <v>18654.040572734626</v>
      </c>
      <c r="F122" s="23"/>
      <c r="G122" s="23"/>
      <c r="H122" s="23"/>
      <c r="I122" s="23"/>
      <c r="J122" s="23"/>
      <c r="K122" s="23"/>
      <c r="L122" s="23"/>
    </row>
    <row r="134" ht="14.25">
      <c r="A134" s="41" t="s">
        <v>1162</v>
      </c>
    </row>
    <row r="135" spans="1:2" ht="12.75">
      <c r="A135" t="s">
        <v>3</v>
      </c>
      <c r="B135" s="23">
        <v>8400</v>
      </c>
    </row>
    <row r="137" ht="12.75">
      <c r="A137" s="154" t="s">
        <v>2</v>
      </c>
    </row>
    <row r="138" spans="1:2" ht="12.75">
      <c r="A138" t="s">
        <v>981</v>
      </c>
      <c r="B138" s="23">
        <v>1680</v>
      </c>
    </row>
    <row r="139" spans="1:2" ht="12.75">
      <c r="A139" t="s">
        <v>982</v>
      </c>
      <c r="B139" s="23">
        <v>770</v>
      </c>
    </row>
    <row r="140" spans="1:2" ht="12.75">
      <c r="A140" t="s">
        <v>4</v>
      </c>
      <c r="B140" s="23">
        <v>800</v>
      </c>
    </row>
    <row r="141" spans="1:2" ht="12.75">
      <c r="A141" s="155" t="s">
        <v>980</v>
      </c>
      <c r="B141" s="23"/>
    </row>
    <row r="142" spans="1:2" ht="12.75">
      <c r="A142" t="s">
        <v>399</v>
      </c>
      <c r="B142" s="23">
        <v>670</v>
      </c>
    </row>
    <row r="143" spans="1:2" ht="12.75">
      <c r="A143" t="s">
        <v>184</v>
      </c>
      <c r="B143" s="23">
        <v>280</v>
      </c>
    </row>
    <row r="144" spans="1:2" ht="12.75">
      <c r="A144" t="s">
        <v>1098</v>
      </c>
      <c r="B144" s="23">
        <v>1000</v>
      </c>
    </row>
    <row r="145" spans="1:2" ht="12.75">
      <c r="A145" s="154" t="s">
        <v>5</v>
      </c>
      <c r="B145" s="23">
        <f>SUM(B138:B140)-SUM(B142:B144)</f>
        <v>1300</v>
      </c>
    </row>
    <row r="147" ht="12.75">
      <c r="A147" s="154" t="s">
        <v>1289</v>
      </c>
    </row>
    <row r="148" spans="1:32" ht="12.75">
      <c r="A148" s="54" t="s">
        <v>979</v>
      </c>
      <c r="B148" s="127">
        <v>0</v>
      </c>
      <c r="C148" s="33">
        <v>1</v>
      </c>
      <c r="D148" s="33">
        <f>C148+1</f>
        <v>2</v>
      </c>
      <c r="E148" s="33">
        <f aca="true" t="shared" si="13" ref="E148:AF148">D148+1</f>
        <v>3</v>
      </c>
      <c r="F148" s="33">
        <f t="shared" si="13"/>
        <v>4</v>
      </c>
      <c r="G148" s="33">
        <f t="shared" si="13"/>
        <v>5</v>
      </c>
      <c r="H148" s="33">
        <f t="shared" si="13"/>
        <v>6</v>
      </c>
      <c r="I148" s="33">
        <f t="shared" si="13"/>
        <v>7</v>
      </c>
      <c r="J148" s="33">
        <f t="shared" si="13"/>
        <v>8</v>
      </c>
      <c r="K148" s="33">
        <f t="shared" si="13"/>
        <v>9</v>
      </c>
      <c r="L148" s="33">
        <f t="shared" si="13"/>
        <v>10</v>
      </c>
      <c r="M148" s="33">
        <f t="shared" si="13"/>
        <v>11</v>
      </c>
      <c r="N148" s="33">
        <f t="shared" si="13"/>
        <v>12</v>
      </c>
      <c r="O148" s="33">
        <f t="shared" si="13"/>
        <v>13</v>
      </c>
      <c r="P148" s="33">
        <f t="shared" si="13"/>
        <v>14</v>
      </c>
      <c r="Q148" s="33">
        <f t="shared" si="13"/>
        <v>15</v>
      </c>
      <c r="R148" s="33">
        <f t="shared" si="13"/>
        <v>16</v>
      </c>
      <c r="S148" s="33">
        <f t="shared" si="13"/>
        <v>17</v>
      </c>
      <c r="T148" s="33">
        <f t="shared" si="13"/>
        <v>18</v>
      </c>
      <c r="U148" s="33">
        <f t="shared" si="13"/>
        <v>19</v>
      </c>
      <c r="V148" s="33">
        <f t="shared" si="13"/>
        <v>20</v>
      </c>
      <c r="W148" s="33">
        <f t="shared" si="13"/>
        <v>21</v>
      </c>
      <c r="X148" s="33">
        <f t="shared" si="13"/>
        <v>22</v>
      </c>
      <c r="Y148" s="33">
        <f t="shared" si="13"/>
        <v>23</v>
      </c>
      <c r="Z148" s="33">
        <f t="shared" si="13"/>
        <v>24</v>
      </c>
      <c r="AA148" s="33">
        <f t="shared" si="13"/>
        <v>25</v>
      </c>
      <c r="AB148" s="33">
        <f t="shared" si="13"/>
        <v>26</v>
      </c>
      <c r="AC148" s="33">
        <f t="shared" si="13"/>
        <v>27</v>
      </c>
      <c r="AD148" s="33">
        <f t="shared" si="13"/>
        <v>28</v>
      </c>
      <c r="AE148" s="33">
        <f t="shared" si="13"/>
        <v>29</v>
      </c>
      <c r="AF148" s="33">
        <f t="shared" si="13"/>
        <v>30</v>
      </c>
    </row>
    <row r="149" spans="1:2" ht="12.75">
      <c r="A149" s="175" t="str">
        <f>A135</f>
        <v>Capital expenditure</v>
      </c>
      <c r="B149" s="23">
        <f>-B135</f>
        <v>-8400</v>
      </c>
    </row>
    <row r="150" spans="1:32" ht="12.75">
      <c r="A150" s="175" t="s">
        <v>6</v>
      </c>
      <c r="B150" s="23"/>
      <c r="C150" s="23">
        <f>$B145</f>
        <v>1300</v>
      </c>
      <c r="D150" s="23">
        <f aca="true" t="shared" si="14" ref="D150:AF150">$B145</f>
        <v>1300</v>
      </c>
      <c r="E150" s="23">
        <f t="shared" si="14"/>
        <v>1300</v>
      </c>
      <c r="F150" s="23">
        <f t="shared" si="14"/>
        <v>1300</v>
      </c>
      <c r="G150" s="23">
        <f t="shared" si="14"/>
        <v>1300</v>
      </c>
      <c r="H150" s="23">
        <f t="shared" si="14"/>
        <v>1300</v>
      </c>
      <c r="I150" s="23">
        <f t="shared" si="14"/>
        <v>1300</v>
      </c>
      <c r="J150" s="23">
        <f t="shared" si="14"/>
        <v>1300</v>
      </c>
      <c r="K150" s="23">
        <f t="shared" si="14"/>
        <v>1300</v>
      </c>
      <c r="L150" s="23">
        <f t="shared" si="14"/>
        <v>1300</v>
      </c>
      <c r="M150" s="23">
        <f t="shared" si="14"/>
        <v>1300</v>
      </c>
      <c r="N150" s="23">
        <f t="shared" si="14"/>
        <v>1300</v>
      </c>
      <c r="O150" s="23">
        <f t="shared" si="14"/>
        <v>1300</v>
      </c>
      <c r="P150" s="23">
        <f t="shared" si="14"/>
        <v>1300</v>
      </c>
      <c r="Q150" s="23">
        <f t="shared" si="14"/>
        <v>1300</v>
      </c>
      <c r="R150" s="23">
        <f t="shared" si="14"/>
        <v>1300</v>
      </c>
      <c r="S150" s="23">
        <f t="shared" si="14"/>
        <v>1300</v>
      </c>
      <c r="T150" s="23">
        <f t="shared" si="14"/>
        <v>1300</v>
      </c>
      <c r="U150" s="23">
        <f t="shared" si="14"/>
        <v>1300</v>
      </c>
      <c r="V150" s="23">
        <f t="shared" si="14"/>
        <v>1300</v>
      </c>
      <c r="W150" s="23">
        <f t="shared" si="14"/>
        <v>1300</v>
      </c>
      <c r="X150" s="23">
        <f t="shared" si="14"/>
        <v>1300</v>
      </c>
      <c r="Y150" s="23">
        <f t="shared" si="14"/>
        <v>1300</v>
      </c>
      <c r="Z150" s="23">
        <f t="shared" si="14"/>
        <v>1300</v>
      </c>
      <c r="AA150" s="23">
        <f t="shared" si="14"/>
        <v>1300</v>
      </c>
      <c r="AB150" s="23">
        <f t="shared" si="14"/>
        <v>1300</v>
      </c>
      <c r="AC150" s="23">
        <f t="shared" si="14"/>
        <v>1300</v>
      </c>
      <c r="AD150" s="23">
        <f t="shared" si="14"/>
        <v>1300</v>
      </c>
      <c r="AE150" s="23">
        <f t="shared" si="14"/>
        <v>1300</v>
      </c>
      <c r="AF150" s="23">
        <f t="shared" si="14"/>
        <v>1300</v>
      </c>
    </row>
    <row r="151" spans="1:32" ht="12.75">
      <c r="A151" s="174" t="s">
        <v>1266</v>
      </c>
      <c r="B151" s="38"/>
      <c r="C151" s="38">
        <f>$B143</f>
        <v>280</v>
      </c>
      <c r="D151" s="38">
        <f aca="true" t="shared" si="15" ref="D151:AF151">$B143</f>
        <v>280</v>
      </c>
      <c r="E151" s="38">
        <f t="shared" si="15"/>
        <v>280</v>
      </c>
      <c r="F151" s="38">
        <f t="shared" si="15"/>
        <v>280</v>
      </c>
      <c r="G151" s="38">
        <f t="shared" si="15"/>
        <v>280</v>
      </c>
      <c r="H151" s="38">
        <f t="shared" si="15"/>
        <v>280</v>
      </c>
      <c r="I151" s="38">
        <f t="shared" si="15"/>
        <v>280</v>
      </c>
      <c r="J151" s="38">
        <f t="shared" si="15"/>
        <v>280</v>
      </c>
      <c r="K151" s="38">
        <f t="shared" si="15"/>
        <v>280</v>
      </c>
      <c r="L151" s="38">
        <f t="shared" si="15"/>
        <v>280</v>
      </c>
      <c r="M151" s="38">
        <f t="shared" si="15"/>
        <v>280</v>
      </c>
      <c r="N151" s="38">
        <f t="shared" si="15"/>
        <v>280</v>
      </c>
      <c r="O151" s="38">
        <f t="shared" si="15"/>
        <v>280</v>
      </c>
      <c r="P151" s="38">
        <f t="shared" si="15"/>
        <v>280</v>
      </c>
      <c r="Q151" s="38">
        <f t="shared" si="15"/>
        <v>280</v>
      </c>
      <c r="R151" s="38">
        <f t="shared" si="15"/>
        <v>280</v>
      </c>
      <c r="S151" s="38">
        <f t="shared" si="15"/>
        <v>280</v>
      </c>
      <c r="T151" s="38">
        <f t="shared" si="15"/>
        <v>280</v>
      </c>
      <c r="U151" s="38">
        <f t="shared" si="15"/>
        <v>280</v>
      </c>
      <c r="V151" s="38">
        <f t="shared" si="15"/>
        <v>280</v>
      </c>
      <c r="W151" s="38">
        <f t="shared" si="15"/>
        <v>280</v>
      </c>
      <c r="X151" s="38">
        <f t="shared" si="15"/>
        <v>280</v>
      </c>
      <c r="Y151" s="38">
        <f t="shared" si="15"/>
        <v>280</v>
      </c>
      <c r="Z151" s="38">
        <f t="shared" si="15"/>
        <v>280</v>
      </c>
      <c r="AA151" s="38">
        <f t="shared" si="15"/>
        <v>280</v>
      </c>
      <c r="AB151" s="38">
        <f t="shared" si="15"/>
        <v>280</v>
      </c>
      <c r="AC151" s="38">
        <f t="shared" si="15"/>
        <v>280</v>
      </c>
      <c r="AD151" s="38">
        <f t="shared" si="15"/>
        <v>280</v>
      </c>
      <c r="AE151" s="38">
        <f t="shared" si="15"/>
        <v>280</v>
      </c>
      <c r="AF151" s="38">
        <f t="shared" si="15"/>
        <v>280</v>
      </c>
    </row>
    <row r="152" spans="1:32" ht="12.75">
      <c r="A152" s="59" t="s">
        <v>1265</v>
      </c>
      <c r="B152" s="23">
        <f aca="true" t="shared" si="16" ref="B152:AF152">SUM(B149:B151)</f>
        <v>-8400</v>
      </c>
      <c r="C152" s="23">
        <f t="shared" si="16"/>
        <v>1580</v>
      </c>
      <c r="D152" s="23">
        <f t="shared" si="16"/>
        <v>1580</v>
      </c>
      <c r="E152" s="23">
        <f t="shared" si="16"/>
        <v>1580</v>
      </c>
      <c r="F152" s="23">
        <f t="shared" si="16"/>
        <v>1580</v>
      </c>
      <c r="G152" s="23">
        <f t="shared" si="16"/>
        <v>1580</v>
      </c>
      <c r="H152" s="23">
        <f t="shared" si="16"/>
        <v>1580</v>
      </c>
      <c r="I152" s="23">
        <f t="shared" si="16"/>
        <v>1580</v>
      </c>
      <c r="J152" s="23">
        <f t="shared" si="16"/>
        <v>1580</v>
      </c>
      <c r="K152" s="23">
        <f t="shared" si="16"/>
        <v>1580</v>
      </c>
      <c r="L152" s="23">
        <f t="shared" si="16"/>
        <v>1580</v>
      </c>
      <c r="M152" s="23">
        <f t="shared" si="16"/>
        <v>1580</v>
      </c>
      <c r="N152" s="23">
        <f t="shared" si="16"/>
        <v>1580</v>
      </c>
      <c r="O152" s="23">
        <f t="shared" si="16"/>
        <v>1580</v>
      </c>
      <c r="P152" s="23">
        <f t="shared" si="16"/>
        <v>1580</v>
      </c>
      <c r="Q152" s="23">
        <f t="shared" si="16"/>
        <v>1580</v>
      </c>
      <c r="R152" s="23">
        <f t="shared" si="16"/>
        <v>1580</v>
      </c>
      <c r="S152" s="23">
        <f t="shared" si="16"/>
        <v>1580</v>
      </c>
      <c r="T152" s="23">
        <f t="shared" si="16"/>
        <v>1580</v>
      </c>
      <c r="U152" s="23">
        <f t="shared" si="16"/>
        <v>1580</v>
      </c>
      <c r="V152" s="23">
        <f t="shared" si="16"/>
        <v>1580</v>
      </c>
      <c r="W152" s="23">
        <f t="shared" si="16"/>
        <v>1580</v>
      </c>
      <c r="X152" s="23">
        <f t="shared" si="16"/>
        <v>1580</v>
      </c>
      <c r="Y152" s="23">
        <f t="shared" si="16"/>
        <v>1580</v>
      </c>
      <c r="Z152" s="23">
        <f t="shared" si="16"/>
        <v>1580</v>
      </c>
      <c r="AA152" s="23">
        <f t="shared" si="16"/>
        <v>1580</v>
      </c>
      <c r="AB152" s="23">
        <f t="shared" si="16"/>
        <v>1580</v>
      </c>
      <c r="AC152" s="23">
        <f t="shared" si="16"/>
        <v>1580</v>
      </c>
      <c r="AD152" s="23">
        <f t="shared" si="16"/>
        <v>1580</v>
      </c>
      <c r="AE152" s="23">
        <f t="shared" si="16"/>
        <v>1580</v>
      </c>
      <c r="AF152" s="23">
        <f t="shared" si="16"/>
        <v>1580</v>
      </c>
    </row>
    <row r="154" ht="12.75">
      <c r="A154" s="154" t="s">
        <v>10</v>
      </c>
    </row>
    <row r="155" spans="1:32" ht="12.75">
      <c r="A155" t="s">
        <v>266</v>
      </c>
      <c r="C155" s="23">
        <f>$B145</f>
        <v>1300</v>
      </c>
      <c r="D155" s="23">
        <f aca="true" t="shared" si="17" ref="D155:AF155">$B145</f>
        <v>1300</v>
      </c>
      <c r="E155" s="23">
        <f t="shared" si="17"/>
        <v>1300</v>
      </c>
      <c r="F155" s="23">
        <f t="shared" si="17"/>
        <v>1300</v>
      </c>
      <c r="G155" s="23">
        <f t="shared" si="17"/>
        <v>1300</v>
      </c>
      <c r="H155" s="23">
        <f t="shared" si="17"/>
        <v>1300</v>
      </c>
      <c r="I155" s="23">
        <f t="shared" si="17"/>
        <v>1300</v>
      </c>
      <c r="J155" s="23">
        <f t="shared" si="17"/>
        <v>1300</v>
      </c>
      <c r="K155" s="23">
        <f t="shared" si="17"/>
        <v>1300</v>
      </c>
      <c r="L155" s="23">
        <f t="shared" si="17"/>
        <v>1300</v>
      </c>
      <c r="M155" s="23">
        <f t="shared" si="17"/>
        <v>1300</v>
      </c>
      <c r="N155" s="23">
        <f t="shared" si="17"/>
        <v>1300</v>
      </c>
      <c r="O155" s="23">
        <f t="shared" si="17"/>
        <v>1300</v>
      </c>
      <c r="P155" s="23">
        <f t="shared" si="17"/>
        <v>1300</v>
      </c>
      <c r="Q155" s="23">
        <f t="shared" si="17"/>
        <v>1300</v>
      </c>
      <c r="R155" s="23">
        <f t="shared" si="17"/>
        <v>1300</v>
      </c>
      <c r="S155" s="23">
        <f t="shared" si="17"/>
        <v>1300</v>
      </c>
      <c r="T155" s="23">
        <f t="shared" si="17"/>
        <v>1300</v>
      </c>
      <c r="U155" s="23">
        <f t="shared" si="17"/>
        <v>1300</v>
      </c>
      <c r="V155" s="23">
        <f t="shared" si="17"/>
        <v>1300</v>
      </c>
      <c r="W155" s="23">
        <f t="shared" si="17"/>
        <v>1300</v>
      </c>
      <c r="X155" s="23">
        <f t="shared" si="17"/>
        <v>1300</v>
      </c>
      <c r="Y155" s="23">
        <f t="shared" si="17"/>
        <v>1300</v>
      </c>
      <c r="Z155" s="23">
        <f t="shared" si="17"/>
        <v>1300</v>
      </c>
      <c r="AA155" s="23">
        <f t="shared" si="17"/>
        <v>1300</v>
      </c>
      <c r="AB155" s="23">
        <f t="shared" si="17"/>
        <v>1300</v>
      </c>
      <c r="AC155" s="23">
        <f t="shared" si="17"/>
        <v>1300</v>
      </c>
      <c r="AD155" s="23">
        <f t="shared" si="17"/>
        <v>1300</v>
      </c>
      <c r="AE155" s="23">
        <f t="shared" si="17"/>
        <v>1300</v>
      </c>
      <c r="AF155" s="23">
        <f t="shared" si="17"/>
        <v>1300</v>
      </c>
    </row>
    <row r="156" spans="1:32" ht="12.75">
      <c r="A156" t="s">
        <v>7</v>
      </c>
      <c r="C156" s="23">
        <f>$B135-(C148-1)*$B143</f>
        <v>8400</v>
      </c>
      <c r="D156" s="23">
        <f>$B135-(D148-1)*$B143</f>
        <v>8120</v>
      </c>
      <c r="E156" s="23">
        <f aca="true" t="shared" si="18" ref="E156:AF156">$B135-(E148-1)*$B143</f>
        <v>7840</v>
      </c>
      <c r="F156" s="23">
        <f t="shared" si="18"/>
        <v>7560</v>
      </c>
      <c r="G156" s="23">
        <f t="shared" si="18"/>
        <v>7280</v>
      </c>
      <c r="H156" s="23">
        <f t="shared" si="18"/>
        <v>7000</v>
      </c>
      <c r="I156" s="23">
        <f t="shared" si="18"/>
        <v>6720</v>
      </c>
      <c r="J156" s="23">
        <f t="shared" si="18"/>
        <v>6440</v>
      </c>
      <c r="K156" s="23">
        <f t="shared" si="18"/>
        <v>6160</v>
      </c>
      <c r="L156" s="23">
        <f t="shared" si="18"/>
        <v>5880</v>
      </c>
      <c r="M156" s="23">
        <f t="shared" si="18"/>
        <v>5600</v>
      </c>
      <c r="N156" s="23">
        <f t="shared" si="18"/>
        <v>5320</v>
      </c>
      <c r="O156" s="23">
        <f t="shared" si="18"/>
        <v>5040</v>
      </c>
      <c r="P156" s="23">
        <f t="shared" si="18"/>
        <v>4760</v>
      </c>
      <c r="Q156" s="23">
        <f t="shared" si="18"/>
        <v>4480</v>
      </c>
      <c r="R156" s="23">
        <f t="shared" si="18"/>
        <v>4200</v>
      </c>
      <c r="S156" s="23">
        <f t="shared" si="18"/>
        <v>3920</v>
      </c>
      <c r="T156" s="23">
        <f t="shared" si="18"/>
        <v>3640</v>
      </c>
      <c r="U156" s="23">
        <f t="shared" si="18"/>
        <v>3360</v>
      </c>
      <c r="V156" s="23">
        <f t="shared" si="18"/>
        <v>3080</v>
      </c>
      <c r="W156" s="23">
        <f t="shared" si="18"/>
        <v>2800</v>
      </c>
      <c r="X156" s="23">
        <f t="shared" si="18"/>
        <v>2520</v>
      </c>
      <c r="Y156" s="23">
        <f t="shared" si="18"/>
        <v>2240</v>
      </c>
      <c r="Z156" s="23">
        <f t="shared" si="18"/>
        <v>1960</v>
      </c>
      <c r="AA156" s="23">
        <f t="shared" si="18"/>
        <v>1680</v>
      </c>
      <c r="AB156" s="23">
        <f t="shared" si="18"/>
        <v>1400</v>
      </c>
      <c r="AC156" s="23">
        <f t="shared" si="18"/>
        <v>1120</v>
      </c>
      <c r="AD156" s="23">
        <f t="shared" si="18"/>
        <v>840</v>
      </c>
      <c r="AE156" s="23">
        <f t="shared" si="18"/>
        <v>560</v>
      </c>
      <c r="AF156" s="23">
        <f t="shared" si="18"/>
        <v>280</v>
      </c>
    </row>
    <row r="157" spans="1:32" ht="12.75">
      <c r="A157" t="s">
        <v>11</v>
      </c>
      <c r="C157" s="50">
        <v>0</v>
      </c>
      <c r="D157" s="23">
        <f>C157</f>
        <v>0</v>
      </c>
      <c r="E157" s="23">
        <f aca="true" t="shared" si="19" ref="E157:AF157">D157</f>
        <v>0</v>
      </c>
      <c r="F157" s="23">
        <f t="shared" si="19"/>
        <v>0</v>
      </c>
      <c r="G157" s="23">
        <f t="shared" si="19"/>
        <v>0</v>
      </c>
      <c r="H157" s="23">
        <f t="shared" si="19"/>
        <v>0</v>
      </c>
      <c r="I157" s="23">
        <f t="shared" si="19"/>
        <v>0</v>
      </c>
      <c r="J157" s="23">
        <f t="shared" si="19"/>
        <v>0</v>
      </c>
      <c r="K157" s="23">
        <f t="shared" si="19"/>
        <v>0</v>
      </c>
      <c r="L157" s="23">
        <f t="shared" si="19"/>
        <v>0</v>
      </c>
      <c r="M157" s="23">
        <f t="shared" si="19"/>
        <v>0</v>
      </c>
      <c r="N157" s="23">
        <f t="shared" si="19"/>
        <v>0</v>
      </c>
      <c r="O157" s="23">
        <f t="shared" si="19"/>
        <v>0</v>
      </c>
      <c r="P157" s="23">
        <f t="shared" si="19"/>
        <v>0</v>
      </c>
      <c r="Q157" s="23">
        <f t="shared" si="19"/>
        <v>0</v>
      </c>
      <c r="R157" s="23">
        <f t="shared" si="19"/>
        <v>0</v>
      </c>
      <c r="S157" s="23">
        <f t="shared" si="19"/>
        <v>0</v>
      </c>
      <c r="T157" s="23">
        <f t="shared" si="19"/>
        <v>0</v>
      </c>
      <c r="U157" s="23">
        <f t="shared" si="19"/>
        <v>0</v>
      </c>
      <c r="V157" s="23">
        <f t="shared" si="19"/>
        <v>0</v>
      </c>
      <c r="W157" s="23">
        <f t="shared" si="19"/>
        <v>0</v>
      </c>
      <c r="X157" s="23">
        <f t="shared" si="19"/>
        <v>0</v>
      </c>
      <c r="Y157" s="23">
        <f t="shared" si="19"/>
        <v>0</v>
      </c>
      <c r="Z157" s="23">
        <f t="shared" si="19"/>
        <v>0</v>
      </c>
      <c r="AA157" s="23">
        <f t="shared" si="19"/>
        <v>0</v>
      </c>
      <c r="AB157" s="23">
        <f t="shared" si="19"/>
        <v>0</v>
      </c>
      <c r="AC157" s="23">
        <f t="shared" si="19"/>
        <v>0</v>
      </c>
      <c r="AD157" s="23">
        <f t="shared" si="19"/>
        <v>0</v>
      </c>
      <c r="AE157" s="23">
        <f t="shared" si="19"/>
        <v>0</v>
      </c>
      <c r="AF157" s="23">
        <f t="shared" si="19"/>
        <v>0</v>
      </c>
    </row>
    <row r="158" spans="1:32" ht="12.75">
      <c r="A158" t="s">
        <v>8</v>
      </c>
      <c r="B158">
        <v>0</v>
      </c>
      <c r="C158" s="256">
        <f>C155/(C156+C157)</f>
        <v>0.15476190476190477</v>
      </c>
      <c r="D158" s="256">
        <f aca="true" t="shared" si="20" ref="D158:AF158">D155/(D156+D157)</f>
        <v>0.16009852216748768</v>
      </c>
      <c r="E158" s="256">
        <f t="shared" si="20"/>
        <v>0.16581632653061223</v>
      </c>
      <c r="F158" s="256">
        <f t="shared" si="20"/>
        <v>0.17195767195767195</v>
      </c>
      <c r="G158" s="256">
        <f t="shared" si="20"/>
        <v>0.17857142857142858</v>
      </c>
      <c r="H158" s="256">
        <f t="shared" si="20"/>
        <v>0.18571428571428572</v>
      </c>
      <c r="I158" s="256">
        <f t="shared" si="20"/>
        <v>0.19345238095238096</v>
      </c>
      <c r="J158" s="256">
        <f t="shared" si="20"/>
        <v>0.20186335403726707</v>
      </c>
      <c r="K158" s="256">
        <f t="shared" si="20"/>
        <v>0.21103896103896103</v>
      </c>
      <c r="L158" s="256">
        <f t="shared" si="20"/>
        <v>0.22108843537414966</v>
      </c>
      <c r="M158" s="256">
        <f t="shared" si="20"/>
        <v>0.23214285714285715</v>
      </c>
      <c r="N158" s="256">
        <f t="shared" si="20"/>
        <v>0.24436090225563908</v>
      </c>
      <c r="O158" s="256">
        <f t="shared" si="20"/>
        <v>0.25793650793650796</v>
      </c>
      <c r="P158" s="256">
        <f t="shared" si="20"/>
        <v>0.27310924369747897</v>
      </c>
      <c r="Q158" s="256">
        <f t="shared" si="20"/>
        <v>0.29017857142857145</v>
      </c>
      <c r="R158" s="256">
        <f t="shared" si="20"/>
        <v>0.30952380952380953</v>
      </c>
      <c r="S158" s="256">
        <f t="shared" si="20"/>
        <v>0.33163265306122447</v>
      </c>
      <c r="T158" s="256">
        <f t="shared" si="20"/>
        <v>0.35714285714285715</v>
      </c>
      <c r="U158" s="256">
        <f t="shared" si="20"/>
        <v>0.3869047619047619</v>
      </c>
      <c r="V158" s="256">
        <f t="shared" si="20"/>
        <v>0.42207792207792205</v>
      </c>
      <c r="W158" s="256">
        <f t="shared" si="20"/>
        <v>0.4642857142857143</v>
      </c>
      <c r="X158" s="256">
        <f t="shared" si="20"/>
        <v>0.5158730158730159</v>
      </c>
      <c r="Y158" s="256">
        <f t="shared" si="20"/>
        <v>0.5803571428571429</v>
      </c>
      <c r="Z158" s="256">
        <f t="shared" si="20"/>
        <v>0.6632653061224489</v>
      </c>
      <c r="AA158" s="256">
        <f t="shared" si="20"/>
        <v>0.7738095238095238</v>
      </c>
      <c r="AB158" s="256">
        <f t="shared" si="20"/>
        <v>0.9285714285714286</v>
      </c>
      <c r="AC158" s="256">
        <f t="shared" si="20"/>
        <v>1.1607142857142858</v>
      </c>
      <c r="AD158" s="256">
        <f t="shared" si="20"/>
        <v>1.5476190476190477</v>
      </c>
      <c r="AE158" s="256">
        <f t="shared" si="20"/>
        <v>2.3214285714285716</v>
      </c>
      <c r="AF158" s="256">
        <f t="shared" si="20"/>
        <v>4.642857142857143</v>
      </c>
    </row>
    <row r="159" spans="3:32" ht="12.75">
      <c r="C159" s="256"/>
      <c r="D159" s="256"/>
      <c r="E159" s="256"/>
      <c r="F159" s="256"/>
      <c r="G159" s="256"/>
      <c r="H159" s="256"/>
      <c r="I159" s="256"/>
      <c r="J159" s="256"/>
      <c r="K159" s="256"/>
      <c r="L159" s="256"/>
      <c r="M159" s="256"/>
      <c r="N159" s="256"/>
      <c r="O159" s="256"/>
      <c r="P159" s="256"/>
      <c r="Q159" s="256"/>
      <c r="R159" s="256"/>
      <c r="S159" s="256"/>
      <c r="T159" s="256"/>
      <c r="U159" s="256"/>
      <c r="V159" s="256"/>
      <c r="W159" s="256"/>
      <c r="X159" s="256"/>
      <c r="Y159" s="256"/>
      <c r="Z159" s="256"/>
      <c r="AA159" s="256"/>
      <c r="AB159" s="256"/>
      <c r="AC159" s="256"/>
      <c r="AD159" s="256"/>
      <c r="AE159" s="256"/>
      <c r="AF159" s="256"/>
    </row>
    <row r="160" spans="1:32" ht="12.75">
      <c r="A160" s="1" t="s">
        <v>9</v>
      </c>
      <c r="B160" s="136">
        <f>C152/AVERAGE(0,B135)</f>
        <v>0.3761904761904762</v>
      </c>
      <c r="C160" s="256"/>
      <c r="D160" s="256"/>
      <c r="E160" s="256"/>
      <c r="F160" s="256"/>
      <c r="G160" s="256"/>
      <c r="H160" s="256"/>
      <c r="I160" s="256"/>
      <c r="J160" s="256"/>
      <c r="K160" s="256"/>
      <c r="L160" s="256"/>
      <c r="M160" s="256"/>
      <c r="N160" s="256"/>
      <c r="O160" s="256"/>
      <c r="P160" s="256"/>
      <c r="Q160" s="256"/>
      <c r="R160" s="256"/>
      <c r="S160" s="256"/>
      <c r="T160" s="256"/>
      <c r="U160" s="256"/>
      <c r="V160" s="256"/>
      <c r="W160" s="256"/>
      <c r="X160" s="256"/>
      <c r="Y160" s="256"/>
      <c r="Z160" s="256"/>
      <c r="AA160" s="256"/>
      <c r="AB160" s="256"/>
      <c r="AC160" s="256"/>
      <c r="AD160" s="256"/>
      <c r="AE160" s="256"/>
      <c r="AF160" s="256"/>
    </row>
    <row r="161" spans="1:32" ht="12.75">
      <c r="A161" s="371" t="s">
        <v>555</v>
      </c>
      <c r="B161" s="136">
        <f>AVERAGE(B158:AF158)</f>
        <v>0.598327565690842</v>
      </c>
      <c r="C161" s="256"/>
      <c r="D161" s="256"/>
      <c r="E161" s="256"/>
      <c r="F161" s="256"/>
      <c r="G161" s="256"/>
      <c r="H161" s="256"/>
      <c r="I161" s="256"/>
      <c r="J161" s="256"/>
      <c r="K161" s="256"/>
      <c r="L161" s="256"/>
      <c r="M161" s="256"/>
      <c r="N161" s="256"/>
      <c r="O161" s="256"/>
      <c r="P161" s="256"/>
      <c r="Q161" s="256"/>
      <c r="R161" s="256"/>
      <c r="S161" s="256"/>
      <c r="T161" s="256"/>
      <c r="U161" s="256"/>
      <c r="V161" s="256"/>
      <c r="W161" s="256"/>
      <c r="X161" s="256"/>
      <c r="Y161" s="256"/>
      <c r="Z161" s="256"/>
      <c r="AA161" s="256"/>
      <c r="AB161" s="256"/>
      <c r="AC161" s="256"/>
      <c r="AD161" s="256"/>
      <c r="AE161" s="256"/>
      <c r="AF161" s="256"/>
    </row>
    <row r="163" ht="12.75">
      <c r="A163" s="154" t="s">
        <v>552</v>
      </c>
    </row>
    <row r="164" spans="1:2" ht="12.75">
      <c r="A164" t="s">
        <v>1183</v>
      </c>
      <c r="B164" s="47">
        <v>0.1</v>
      </c>
    </row>
    <row r="165" spans="1:32" ht="25.5">
      <c r="A165" s="130" t="s">
        <v>1285</v>
      </c>
      <c r="B165" s="23">
        <f>SUMPRODUCT($B152:B152,POWER(1+$B164,-$B148:B148))</f>
        <v>-8400</v>
      </c>
      <c r="C165" s="23">
        <f>SUMPRODUCT($B152:C152,POWER(1+$B164,-$B148:C148))</f>
        <v>-6963.636363636364</v>
      </c>
      <c r="D165" s="23">
        <f>SUMPRODUCT($B152:D152,POWER(1+$B164,-$B148:D148))</f>
        <v>-5657.851239669422</v>
      </c>
      <c r="E165" s="23">
        <f>SUMPRODUCT($B152:E152,POWER(1+$B164,-$B148:E148))</f>
        <v>-4470.77385424493</v>
      </c>
      <c r="F165" s="23">
        <f>SUMPRODUCT($B152:F152,POWER(1+$B164,-$B148:F148))</f>
        <v>-3391.6125947681185</v>
      </c>
      <c r="G165" s="23">
        <f>SUMPRODUCT($B152:G152,POWER(1+$B164,-$B148:G148))</f>
        <v>-2410.5569043346536</v>
      </c>
      <c r="H165" s="23">
        <f>SUMPRODUCT($B152:H152,POWER(1+$B164,-$B148:H148))</f>
        <v>-1518.6880948496855</v>
      </c>
      <c r="I165" s="23">
        <f>SUMPRODUCT($B152:I152,POWER(1+$B164,-$B148:I148))</f>
        <v>-707.8982680451693</v>
      </c>
      <c r="J165" s="23">
        <f>SUMPRODUCT($B152:J152,POWER(1+$B164,-$B148:J148))</f>
        <v>29.183392686209118</v>
      </c>
      <c r="K165" s="23">
        <f>SUMPRODUCT($B152:K152,POWER(1+$B164,-$B148:K148))</f>
        <v>699.2576297147349</v>
      </c>
      <c r="L165" s="23">
        <f>SUMPRODUCT($B152:L152,POWER(1+$B164,-$B148:L148))</f>
        <v>1308.4160270133946</v>
      </c>
      <c r="M165" s="23">
        <f>SUMPRODUCT($B152:M152,POWER(1+$B164,-$B148:M148))</f>
        <v>1862.1963881939942</v>
      </c>
      <c r="N165" s="23">
        <f>SUMPRODUCT($B152:N152,POWER(1+$B164,-$B148:N148))</f>
        <v>2365.6330801763575</v>
      </c>
      <c r="O165" s="23">
        <f>SUMPRODUCT($B152:O152,POWER(1+$B164,-$B148:O148))</f>
        <v>2823.3028001603243</v>
      </c>
      <c r="P165" s="23">
        <f>SUMPRODUCT($B152:P152,POWER(1+$B164,-$B148:P148))</f>
        <v>3239.36618196393</v>
      </c>
      <c r="Q165" s="23">
        <f>SUMPRODUCT($B152:Q152,POWER(1+$B164,-$B148:Q148))</f>
        <v>3617.6056199672084</v>
      </c>
      <c r="R165" s="23">
        <f>SUMPRODUCT($B152:R152,POWER(1+$B164,-$B148:R148))</f>
        <v>3961.4596545156433</v>
      </c>
      <c r="S165" s="23">
        <f>SUMPRODUCT($B152:S152,POWER(1+$B164,-$B148:S148))</f>
        <v>4274.054231377857</v>
      </c>
      <c r="T165" s="23">
        <f>SUMPRODUCT($B152:T152,POWER(1+$B164,-$B148:T148))</f>
        <v>4558.231119434415</v>
      </c>
      <c r="U165" s="23">
        <f>SUMPRODUCT($B152:U152,POWER(1+$B164,-$B148:U148))</f>
        <v>4816.573744940376</v>
      </c>
      <c r="V165" s="23">
        <f>SUMPRODUCT($B152:V152,POWER(1+$B164,-$B148:V148))</f>
        <v>5051.430677218523</v>
      </c>
      <c r="W165" s="23">
        <f>SUMPRODUCT($B152:W152,POWER(1+$B164,-$B148:W148))</f>
        <v>5264.936979289565</v>
      </c>
      <c r="X165" s="23">
        <f>SUMPRODUCT($B152:X152,POWER(1+$B164,-$B148:X148))</f>
        <v>5459.033617535967</v>
      </c>
      <c r="Y165" s="23">
        <f>SUMPRODUCT($B152:Y152,POWER(1+$B164,-$B148:Y148))</f>
        <v>5635.485106850878</v>
      </c>
      <c r="Z165" s="23">
        <f>SUMPRODUCT($B152:Z152,POWER(1+$B164,-$B148:Z148))</f>
        <v>5795.895551682615</v>
      </c>
      <c r="AA165" s="23">
        <f>SUMPRODUCT($B152:AA152,POWER(1+$B164,-$B148:AA148))</f>
        <v>5941.723228802377</v>
      </c>
      <c r="AB165" s="23">
        <f>SUMPRODUCT($B152:AB152,POWER(1+$B164,-$B148:AB148))</f>
        <v>6074.293844365796</v>
      </c>
      <c r="AC165" s="23">
        <f>SUMPRODUCT($B152:AC152,POWER(1+$B164,-$B148:AC148))</f>
        <v>6194.812585787086</v>
      </c>
      <c r="AD165" s="23">
        <f>SUMPRODUCT($B152:AD152,POWER(1+$B164,-$B148:AD148))</f>
        <v>6304.375077988259</v>
      </c>
      <c r="AE165" s="23">
        <f>SUMPRODUCT($B152:AE152,POWER(1+$B164,-$B148:AE148))</f>
        <v>6403.977343625689</v>
      </c>
      <c r="AF165" s="23">
        <f>SUMPRODUCT($B152:AF152,POWER(1+$B164,-$B148:AF148))</f>
        <v>6494.524857841535</v>
      </c>
    </row>
    <row r="166" ht="12.75">
      <c r="B166" s="23"/>
    </row>
    <row r="179" spans="1:2" ht="12.75">
      <c r="A179" s="1" t="s">
        <v>553</v>
      </c>
      <c r="B179" s="141">
        <f>K148-K165/(L165-K165)</f>
        <v>7.852092275481017</v>
      </c>
    </row>
    <row r="180" spans="1:2" ht="12.75">
      <c r="A180" s="1" t="s">
        <v>554</v>
      </c>
      <c r="B180" s="50">
        <f>AF165</f>
        <v>6494.524857841535</v>
      </c>
    </row>
    <row r="182" ht="12.75">
      <c r="A182" s="154" t="s">
        <v>556</v>
      </c>
    </row>
    <row r="183" spans="1:2" ht="12.75">
      <c r="A183" s="1" t="s">
        <v>1215</v>
      </c>
      <c r="B183" s="140">
        <v>0.1602407573611475</v>
      </c>
    </row>
    <row r="184" spans="1:2" ht="12.75">
      <c r="A184" s="168" t="s">
        <v>1236</v>
      </c>
      <c r="B184" s="50">
        <f>SUMPRODUCT(B152:AF152,POWER(1+B183,-B148:AF148))</f>
        <v>1346.0223709964146</v>
      </c>
    </row>
    <row r="185" spans="1:2" ht="12.75">
      <c r="A185" s="167"/>
      <c r="B185" s="40"/>
    </row>
    <row r="186" ht="14.25">
      <c r="A186" s="41" t="s">
        <v>1163</v>
      </c>
    </row>
    <row r="187" spans="1:2" ht="12.75">
      <c r="A187" s="3" t="s">
        <v>558</v>
      </c>
      <c r="B187" s="23">
        <v>8000</v>
      </c>
    </row>
    <row r="188" spans="1:2" ht="12.75">
      <c r="A188" s="3" t="s">
        <v>559</v>
      </c>
      <c r="B188">
        <v>7</v>
      </c>
    </row>
    <row r="189" spans="1:2" ht="25.5">
      <c r="A189" s="3" t="s">
        <v>560</v>
      </c>
      <c r="B189">
        <v>8</v>
      </c>
    </row>
    <row r="190" spans="1:2" ht="12.75">
      <c r="A190" s="3" t="s">
        <v>1282</v>
      </c>
      <c r="B190" s="23">
        <f>(B187*B188/B189)-B212</f>
        <v>2000</v>
      </c>
    </row>
    <row r="191" spans="1:2" ht="25.5">
      <c r="A191" s="3" t="s">
        <v>561</v>
      </c>
      <c r="B191" s="47">
        <v>0.4</v>
      </c>
    </row>
    <row r="192" spans="1:2" ht="12.75">
      <c r="A192" s="3" t="s">
        <v>562</v>
      </c>
      <c r="B192" s="23">
        <f>B190*B191</f>
        <v>800</v>
      </c>
    </row>
    <row r="193" ht="12.75">
      <c r="A193" s="3"/>
    </row>
    <row r="194" spans="1:2" ht="25.5">
      <c r="A194" s="3" t="s">
        <v>563</v>
      </c>
      <c r="B194" s="23">
        <v>10500</v>
      </c>
    </row>
    <row r="195" spans="1:2" ht="12.75">
      <c r="A195" s="3" t="s">
        <v>1166</v>
      </c>
      <c r="B195">
        <v>7</v>
      </c>
    </row>
    <row r="196" spans="1:2" ht="12.75">
      <c r="A196" s="3" t="s">
        <v>564</v>
      </c>
      <c r="B196" s="23">
        <v>500</v>
      </c>
    </row>
    <row r="197" ht="12.75">
      <c r="A197" s="3"/>
    </row>
    <row r="198" spans="1:3" ht="12.75">
      <c r="A198" s="3" t="s">
        <v>565</v>
      </c>
      <c r="B198" s="63">
        <v>100000</v>
      </c>
      <c r="C198" t="s">
        <v>566</v>
      </c>
    </row>
    <row r="199" spans="1:2" ht="12.75">
      <c r="A199" s="3" t="s">
        <v>567</v>
      </c>
      <c r="B199" s="23">
        <f>SUM(B200:B202)</f>
        <v>0.38</v>
      </c>
    </row>
    <row r="200" spans="1:2" ht="12.75">
      <c r="A200" s="10" t="s">
        <v>569</v>
      </c>
      <c r="B200" s="24">
        <v>0.14</v>
      </c>
    </row>
    <row r="201" spans="1:2" ht="12.75">
      <c r="A201" s="10" t="s">
        <v>570</v>
      </c>
      <c r="B201" s="24">
        <v>0.1</v>
      </c>
    </row>
    <row r="202" spans="1:2" ht="12.75">
      <c r="A202" s="10" t="s">
        <v>571</v>
      </c>
      <c r="B202" s="24">
        <v>0.14</v>
      </c>
    </row>
    <row r="203" spans="1:2" ht="12.75">
      <c r="A203" s="3" t="s">
        <v>568</v>
      </c>
      <c r="B203" s="23">
        <f>SUM(B204:B206)</f>
        <v>0.35</v>
      </c>
    </row>
    <row r="204" spans="1:2" ht="12.75">
      <c r="A204" s="10" t="s">
        <v>569</v>
      </c>
      <c r="B204" s="24">
        <v>0.12</v>
      </c>
    </row>
    <row r="205" spans="1:2" ht="12.75">
      <c r="A205" s="10" t="s">
        <v>570</v>
      </c>
      <c r="B205" s="24">
        <v>0.09</v>
      </c>
    </row>
    <row r="206" spans="1:2" ht="12.75">
      <c r="A206" s="10" t="s">
        <v>571</v>
      </c>
      <c r="B206" s="24">
        <f>B202</f>
        <v>0.14</v>
      </c>
    </row>
    <row r="208" ht="12.75">
      <c r="A208" s="154" t="s">
        <v>557</v>
      </c>
    </row>
    <row r="209" spans="1:10" ht="12.75">
      <c r="A209" s="175" t="s">
        <v>1283</v>
      </c>
      <c r="B209" s="23"/>
      <c r="C209" s="50">
        <f aca="true" t="shared" si="21" ref="C209:I209">$B194/$B195-$B187/$B189</f>
        <v>500</v>
      </c>
      <c r="D209" s="23">
        <f t="shared" si="21"/>
        <v>500</v>
      </c>
      <c r="E209" s="23">
        <f t="shared" si="21"/>
        <v>500</v>
      </c>
      <c r="F209" s="23">
        <f t="shared" si="21"/>
        <v>500</v>
      </c>
      <c r="G209" s="23">
        <f t="shared" si="21"/>
        <v>500</v>
      </c>
      <c r="H209" s="23">
        <f t="shared" si="21"/>
        <v>500</v>
      </c>
      <c r="I209" s="23">
        <f t="shared" si="21"/>
        <v>500</v>
      </c>
      <c r="J209" s="23"/>
    </row>
    <row r="210" spans="1:10" ht="12.75">
      <c r="A210" s="176"/>
      <c r="B210" s="58"/>
      <c r="C210" s="23"/>
      <c r="D210" s="23"/>
      <c r="E210" s="23"/>
      <c r="F210" s="23"/>
      <c r="G210" s="23"/>
      <c r="H210" s="23"/>
      <c r="I210" s="23"/>
      <c r="J210" s="23"/>
    </row>
    <row r="211" spans="1:10" ht="12.75">
      <c r="A211" s="54" t="s">
        <v>979</v>
      </c>
      <c r="B211" s="127">
        <v>0</v>
      </c>
      <c r="C211" s="127">
        <v>1</v>
      </c>
      <c r="D211" s="127">
        <f aca="true" t="shared" si="22" ref="D211:I211">C211+1</f>
        <v>2</v>
      </c>
      <c r="E211" s="127">
        <f t="shared" si="22"/>
        <v>3</v>
      </c>
      <c r="F211" s="127">
        <f t="shared" si="22"/>
        <v>4</v>
      </c>
      <c r="G211" s="127">
        <f t="shared" si="22"/>
        <v>5</v>
      </c>
      <c r="H211" s="127">
        <f t="shared" si="22"/>
        <v>6</v>
      </c>
      <c r="I211" s="127">
        <f t="shared" si="22"/>
        <v>7</v>
      </c>
      <c r="J211" s="127">
        <v>8</v>
      </c>
    </row>
    <row r="212" spans="1:9" s="235" customFormat="1" ht="12.75">
      <c r="A212" s="355" t="s">
        <v>572</v>
      </c>
      <c r="B212" s="356">
        <v>5000</v>
      </c>
      <c r="D212" s="356"/>
      <c r="E212" s="356"/>
      <c r="F212" s="356"/>
      <c r="G212" s="356"/>
      <c r="H212" s="356"/>
      <c r="I212" s="356"/>
    </row>
    <row r="213" spans="1:10" s="235" customFormat="1" ht="12.75">
      <c r="A213" s="355" t="s">
        <v>1291</v>
      </c>
      <c r="B213" s="356">
        <v>-11000</v>
      </c>
      <c r="D213" s="356"/>
      <c r="E213" s="356"/>
      <c r="F213" s="356"/>
      <c r="G213" s="356"/>
      <c r="H213" s="356"/>
      <c r="I213" s="356" t="s">
        <v>791</v>
      </c>
      <c r="J213" s="356">
        <f>B196</f>
        <v>500</v>
      </c>
    </row>
    <row r="214" spans="1:9" ht="25.5">
      <c r="A214" s="175" t="s">
        <v>575</v>
      </c>
      <c r="B214" s="23"/>
      <c r="C214" s="23">
        <f aca="true" t="shared" si="23" ref="C214:I214">(SUM($B200:$B202)-SUM($B204:$B206))*$B198</f>
        <v>3000.0000000000027</v>
      </c>
      <c r="D214" s="23">
        <f t="shared" si="23"/>
        <v>3000.0000000000027</v>
      </c>
      <c r="E214" s="23">
        <f t="shared" si="23"/>
        <v>3000.0000000000027</v>
      </c>
      <c r="F214" s="23">
        <f t="shared" si="23"/>
        <v>3000.0000000000027</v>
      </c>
      <c r="G214" s="23">
        <f t="shared" si="23"/>
        <v>3000.0000000000027</v>
      </c>
      <c r="H214" s="23">
        <f t="shared" si="23"/>
        <v>3000.0000000000027</v>
      </c>
      <c r="I214" s="23">
        <f t="shared" si="23"/>
        <v>3000.0000000000027</v>
      </c>
    </row>
    <row r="215" spans="1:9" ht="12.75">
      <c r="A215" s="175" t="s">
        <v>573</v>
      </c>
      <c r="B215" s="23"/>
      <c r="C215" s="23">
        <f aca="true" t="shared" si="24" ref="C215:I215">-(C214-C209)*$B191</f>
        <v>-1000.0000000000011</v>
      </c>
      <c r="D215" s="23">
        <f t="shared" si="24"/>
        <v>-1000.0000000000011</v>
      </c>
      <c r="E215" s="23">
        <f t="shared" si="24"/>
        <v>-1000.0000000000011</v>
      </c>
      <c r="F215" s="23">
        <f t="shared" si="24"/>
        <v>-1000.0000000000011</v>
      </c>
      <c r="G215" s="23">
        <f t="shared" si="24"/>
        <v>-1000.0000000000011</v>
      </c>
      <c r="H215" s="23">
        <f t="shared" si="24"/>
        <v>-1000.0000000000011</v>
      </c>
      <c r="I215" s="23">
        <f t="shared" si="24"/>
        <v>-1000.0000000000011</v>
      </c>
    </row>
    <row r="216" spans="1:10" ht="12.75">
      <c r="A216" s="174" t="s">
        <v>562</v>
      </c>
      <c r="B216" s="38">
        <f>B192</f>
        <v>800</v>
      </c>
      <c r="C216" s="33"/>
      <c r="D216" s="38"/>
      <c r="E216" s="38"/>
      <c r="F216" s="38"/>
      <c r="G216" s="38"/>
      <c r="H216" s="38"/>
      <c r="I216" s="38"/>
      <c r="J216" s="33"/>
    </row>
    <row r="217" spans="1:10" ht="12.75">
      <c r="A217" s="175" t="s">
        <v>574</v>
      </c>
      <c r="B217" s="23">
        <f>SUM(B212:B216)</f>
        <v>-5200</v>
      </c>
      <c r="C217" s="23">
        <f>SUM(C212:C216)</f>
        <v>2000.0000000000016</v>
      </c>
      <c r="D217" s="23">
        <f aca="true" t="shared" si="25" ref="D217:J217">SUM(D212:D216)</f>
        <v>2000.0000000000016</v>
      </c>
      <c r="E217" s="23">
        <f t="shared" si="25"/>
        <v>2000.0000000000016</v>
      </c>
      <c r="F217" s="23">
        <f t="shared" si="25"/>
        <v>2000.0000000000016</v>
      </c>
      <c r="G217" s="23">
        <f t="shared" si="25"/>
        <v>2000.0000000000016</v>
      </c>
      <c r="H217" s="23">
        <f t="shared" si="25"/>
        <v>2000.0000000000016</v>
      </c>
      <c r="I217" s="23">
        <f t="shared" si="25"/>
        <v>2000.0000000000016</v>
      </c>
      <c r="J217" s="23">
        <f t="shared" si="25"/>
        <v>500</v>
      </c>
    </row>
    <row r="218" spans="1:9" ht="12.75">
      <c r="A218" s="176"/>
      <c r="B218" s="6"/>
      <c r="C218" s="6"/>
      <c r="D218" s="6"/>
      <c r="E218" s="6"/>
      <c r="F218" s="6"/>
      <c r="G218" s="6"/>
      <c r="H218" s="6"/>
      <c r="I218" s="6"/>
    </row>
    <row r="219" spans="1:2" ht="12.75">
      <c r="A219" s="3" t="s">
        <v>1277</v>
      </c>
      <c r="B219" s="47">
        <v>0.1</v>
      </c>
    </row>
    <row r="220" spans="1:2" ht="12.75">
      <c r="A220" s="3" t="s">
        <v>1236</v>
      </c>
      <c r="B220" s="23">
        <f>NPV(B219,C217:J217)</f>
        <v>9970.091325490735</v>
      </c>
    </row>
    <row r="221" spans="1:2" ht="12.75">
      <c r="A221" s="3"/>
      <c r="B221" s="23"/>
    </row>
    <row r="222" spans="1:10" ht="12.75">
      <c r="A222" s="129" t="s">
        <v>576</v>
      </c>
      <c r="B222" s="38">
        <f>B217</f>
        <v>-5200</v>
      </c>
      <c r="C222" s="230">
        <f>C217/(1+$B$219)^C211</f>
        <v>1818.1818181818194</v>
      </c>
      <c r="D222" s="230">
        <f aca="true" t="shared" si="26" ref="D222:J222">D217/(1+$B$219)^D211</f>
        <v>1652.8925619834722</v>
      </c>
      <c r="E222" s="230">
        <f t="shared" si="26"/>
        <v>1502.6296018031562</v>
      </c>
      <c r="F222" s="230">
        <f t="shared" si="26"/>
        <v>1366.0269107301422</v>
      </c>
      <c r="G222" s="230">
        <f t="shared" si="26"/>
        <v>1241.842646118311</v>
      </c>
      <c r="H222" s="230">
        <f t="shared" si="26"/>
        <v>1128.9478601075552</v>
      </c>
      <c r="I222" s="230">
        <f t="shared" si="26"/>
        <v>1026.3162364614136</v>
      </c>
      <c r="J222" s="230">
        <f t="shared" si="26"/>
        <v>233.2536901048666</v>
      </c>
    </row>
    <row r="223" spans="1:9" ht="25.5">
      <c r="A223" s="175" t="s">
        <v>1285</v>
      </c>
      <c r="B223" s="23">
        <f>B222</f>
        <v>-5200</v>
      </c>
      <c r="C223" s="23">
        <f>SUMPRODUCT($B217:C217,POWER(1+$B219,-$B211:C211))</f>
        <v>-3381.81818181818</v>
      </c>
      <c r="D223" s="23">
        <f>SUMPRODUCT($B217:D217,POWER(1+$B219,-$B211:D211))</f>
        <v>-1728.925619834708</v>
      </c>
      <c r="E223" s="23">
        <f>SUMPRODUCT($B217:E217,POWER(1+$B219,-$B211:E211))</f>
        <v>-226.29601803155174</v>
      </c>
      <c r="F223" s="23">
        <f>SUMPRODUCT($B217:F217,POWER(1+$B219,-$B211:F211))</f>
        <v>1139.7308926985904</v>
      </c>
      <c r="G223" s="23">
        <f>SUMPRODUCT($B217:G217,POWER(1+$B219,-$B211:G211))</f>
        <v>2381.5735388169014</v>
      </c>
      <c r="H223" s="23">
        <f>SUMPRODUCT($B217:H217,POWER(1+$B219,-$B211:H211))</f>
        <v>3510.5213989244567</v>
      </c>
      <c r="I223" s="23">
        <f>SUMPRODUCT($B217:I217,POWER(1+$B219,-$B211:I211))</f>
        <v>4536.83763538587</v>
      </c>
    </row>
    <row r="238" spans="1:3" ht="12.75">
      <c r="A238" s="1" t="s">
        <v>553</v>
      </c>
      <c r="B238" s="173">
        <f>C211-C223/(D223-C223)</f>
        <v>3.0459999999999976</v>
      </c>
      <c r="C238" t="s">
        <v>936</v>
      </c>
    </row>
    <row r="240" ht="14.25">
      <c r="A240" s="41" t="s">
        <v>1186</v>
      </c>
    </row>
    <row r="241" spans="1:2" ht="12.75">
      <c r="A241" s="179" t="s">
        <v>577</v>
      </c>
      <c r="B241" s="182">
        <v>1000</v>
      </c>
    </row>
    <row r="242" ht="12.75">
      <c r="A242" s="178"/>
    </row>
    <row r="243" spans="1:2" ht="12.75">
      <c r="A243" s="179" t="s">
        <v>580</v>
      </c>
      <c r="B243" s="182">
        <v>4</v>
      </c>
    </row>
    <row r="244" spans="1:2" ht="12.75">
      <c r="A244" s="179" t="s">
        <v>581</v>
      </c>
      <c r="B244" s="182">
        <v>3.2</v>
      </c>
    </row>
    <row r="245" spans="1:2" ht="12.75">
      <c r="A245" s="179" t="s">
        <v>363</v>
      </c>
      <c r="B245" s="182">
        <v>1</v>
      </c>
    </row>
    <row r="246" ht="12.75">
      <c r="A246" s="178"/>
    </row>
    <row r="247" spans="1:2" ht="25.5">
      <c r="A247" s="179" t="s">
        <v>582</v>
      </c>
      <c r="B247" s="181">
        <v>0.2</v>
      </c>
    </row>
    <row r="249" spans="1:6" ht="25.5">
      <c r="A249" s="179" t="s">
        <v>578</v>
      </c>
      <c r="B249" s="203">
        <v>0</v>
      </c>
      <c r="C249" s="4">
        <v>15</v>
      </c>
      <c r="D249" s="4">
        <v>30</v>
      </c>
      <c r="E249" s="4">
        <v>45</v>
      </c>
      <c r="F249" s="4">
        <v>60</v>
      </c>
    </row>
    <row r="250" spans="1:6" ht="12.75">
      <c r="A250" s="179" t="s">
        <v>579</v>
      </c>
      <c r="B250" s="182">
        <v>0</v>
      </c>
      <c r="C250" s="23">
        <v>40</v>
      </c>
      <c r="D250" s="23">
        <v>60</v>
      </c>
      <c r="E250" s="23">
        <v>70</v>
      </c>
      <c r="F250" s="23">
        <v>75</v>
      </c>
    </row>
    <row r="251" ht="12.75">
      <c r="A251" s="178"/>
    </row>
    <row r="252" ht="12.75">
      <c r="A252" s="154" t="s">
        <v>579</v>
      </c>
    </row>
    <row r="253" spans="1:6" ht="12.75">
      <c r="A253" s="179" t="s">
        <v>238</v>
      </c>
      <c r="B253" s="182">
        <f>$B241+B250</f>
        <v>1000</v>
      </c>
      <c r="C253" s="23">
        <f>$B241+C250</f>
        <v>1040</v>
      </c>
      <c r="D253" s="23">
        <f>$B241+D250</f>
        <v>1060</v>
      </c>
      <c r="E253" s="23">
        <f>$B241+E250</f>
        <v>1070</v>
      </c>
      <c r="F253" s="23">
        <f>$B241+F250</f>
        <v>1075</v>
      </c>
    </row>
    <row r="254" spans="1:6" ht="25.5">
      <c r="A254" s="179" t="s">
        <v>583</v>
      </c>
      <c r="B254" s="182">
        <f>B253/$B243</f>
        <v>250</v>
      </c>
      <c r="C254" s="23">
        <f>C253/$B243</f>
        <v>260</v>
      </c>
      <c r="D254" s="23">
        <f>D253/$B243</f>
        <v>265</v>
      </c>
      <c r="E254" s="23">
        <f>E253/$B243</f>
        <v>267.5</v>
      </c>
      <c r="F254" s="23">
        <f>F253/$B243</f>
        <v>268.75</v>
      </c>
    </row>
    <row r="255" spans="1:6" ht="12.75">
      <c r="A255" s="179" t="s">
        <v>585</v>
      </c>
      <c r="B255" s="182">
        <f>(($B244-$B245)*B254+$B245*$B254)</f>
        <v>800</v>
      </c>
      <c r="C255" s="23">
        <f>(($B244-$B245)*C254+$B245*$B254)</f>
        <v>822</v>
      </c>
      <c r="D255" s="23">
        <f>(($B244-$B245)*D254+$B245*$B254)</f>
        <v>833</v>
      </c>
      <c r="E255" s="23">
        <f>(($B244-$B245)*E254+$B245*$B254)</f>
        <v>838.5</v>
      </c>
      <c r="F255" s="23">
        <f>(($B244-$B245)*F254+$B245*$B254)</f>
        <v>841.25</v>
      </c>
    </row>
    <row r="256" spans="1:6" ht="12.75">
      <c r="A256" s="179" t="s">
        <v>1116</v>
      </c>
      <c r="B256" s="182">
        <f>B253-B255</f>
        <v>200</v>
      </c>
      <c r="C256" s="23">
        <f>C253-C255</f>
        <v>218</v>
      </c>
      <c r="D256" s="23">
        <f>D253-D255</f>
        <v>227</v>
      </c>
      <c r="E256" s="23">
        <f>E253-E255</f>
        <v>231.5</v>
      </c>
      <c r="F256" s="23">
        <f>F253-F255</f>
        <v>233.75</v>
      </c>
    </row>
    <row r="257" spans="1:6" ht="12.75">
      <c r="A257" t="s">
        <v>584</v>
      </c>
      <c r="B257" s="182">
        <f>B256-$B256</f>
        <v>0</v>
      </c>
      <c r="C257" s="23">
        <f>C256-$B256</f>
        <v>18</v>
      </c>
      <c r="D257" s="23">
        <f>D256-$B256</f>
        <v>27</v>
      </c>
      <c r="E257" s="23">
        <f>E256-$B256</f>
        <v>31.5</v>
      </c>
      <c r="F257" s="23">
        <f>F256-$B256</f>
        <v>33.75</v>
      </c>
    </row>
    <row r="258" spans="1:6" ht="12.75">
      <c r="A258" s="178"/>
      <c r="B258" s="23"/>
      <c r="C258" s="23"/>
      <c r="D258" s="23"/>
      <c r="E258" s="23"/>
      <c r="F258" s="23"/>
    </row>
    <row r="259" spans="1:6" ht="12.75">
      <c r="A259" s="357" t="s">
        <v>597</v>
      </c>
      <c r="B259" s="23"/>
      <c r="C259" s="23"/>
      <c r="D259" s="23"/>
      <c r="E259" s="23"/>
      <c r="F259" s="23"/>
    </row>
    <row r="260" spans="1:6" ht="12.75">
      <c r="A260" s="179" t="s">
        <v>585</v>
      </c>
      <c r="B260" s="182">
        <f>-B255+$B255</f>
        <v>0</v>
      </c>
      <c r="C260" s="23">
        <f>-C255+$B255</f>
        <v>-22</v>
      </c>
      <c r="D260" s="23">
        <f>-D255+$B255</f>
        <v>-33</v>
      </c>
      <c r="E260" s="23">
        <f>-E255+$B255</f>
        <v>-38.5</v>
      </c>
      <c r="F260" s="23">
        <f>-F255+$B255</f>
        <v>-41.25</v>
      </c>
    </row>
    <row r="261" spans="1:6" ht="38.25">
      <c r="A261" s="179" t="s">
        <v>586</v>
      </c>
      <c r="B261" s="51">
        <f>B253/(1+$B247*B249/365)-$B253</f>
        <v>0</v>
      </c>
      <c r="C261" s="51">
        <f>C253/(1+$B247*C249/365)-$B253</f>
        <v>31.521739130434753</v>
      </c>
      <c r="D261" s="23">
        <f>D253/(1+$B247*D249/3650)-$B253</f>
        <v>58.26039387308538</v>
      </c>
      <c r="E261" s="23">
        <f>E253/(1+$B247*E249/365)-$B253</f>
        <v>44.25133689839572</v>
      </c>
      <c r="F261" s="23">
        <f>F253/(1+$B247*F249/365)-$B253</f>
        <v>40.782493368700216</v>
      </c>
    </row>
    <row r="262" spans="1:6" ht="12.75">
      <c r="A262" s="179" t="s">
        <v>587</v>
      </c>
      <c r="B262" s="58"/>
      <c r="C262" s="23"/>
      <c r="D262" s="23"/>
      <c r="E262" s="23"/>
      <c r="F262" s="23"/>
    </row>
    <row r="264" spans="1:6" ht="12.75">
      <c r="A264" s="179" t="s">
        <v>1236</v>
      </c>
      <c r="B264" s="6">
        <f>SUM(B260:B261)</f>
        <v>0</v>
      </c>
      <c r="C264" s="6">
        <f>SUM(C260:C261)</f>
        <v>9.521739130434753</v>
      </c>
      <c r="D264" s="6">
        <f>SUM(D260:D261)</f>
        <v>25.260393873085377</v>
      </c>
      <c r="E264" s="6">
        <f>SUM(E260:E261)</f>
        <v>5.751336898395721</v>
      </c>
      <c r="F264" s="6">
        <f>SUM(F260:F261)</f>
        <v>-0.4675066312997842</v>
      </c>
    </row>
    <row r="265" spans="1:6" ht="12.75">
      <c r="A265" s="179"/>
      <c r="B265" s="6"/>
      <c r="C265" s="6"/>
      <c r="D265" s="6"/>
      <c r="E265" s="6"/>
      <c r="F265" s="6"/>
    </row>
    <row r="266" spans="1:6" ht="12.75">
      <c r="A266" s="179"/>
      <c r="B266" s="6"/>
      <c r="C266" s="6"/>
      <c r="D266" s="6"/>
      <c r="E266" s="6"/>
      <c r="F266" s="6"/>
    </row>
    <row r="284" spans="1:3" ht="25.5">
      <c r="A284" s="183" t="s">
        <v>588</v>
      </c>
      <c r="B284" s="227">
        <v>30</v>
      </c>
      <c r="C284" t="s">
        <v>548</v>
      </c>
    </row>
    <row r="286" ht="12.75">
      <c r="A286" s="372" t="s">
        <v>886</v>
      </c>
    </row>
    <row r="287" spans="1:6" ht="25.5">
      <c r="A287" s="179" t="s">
        <v>578</v>
      </c>
      <c r="B287" s="180">
        <f>B249</f>
        <v>0</v>
      </c>
      <c r="C287">
        <f>C249</f>
        <v>15</v>
      </c>
      <c r="D287">
        <f>D249</f>
        <v>30</v>
      </c>
      <c r="E287">
        <f>E249</f>
        <v>45</v>
      </c>
      <c r="F287">
        <f>F249</f>
        <v>60</v>
      </c>
    </row>
    <row r="288" spans="1:6" ht="12.75">
      <c r="A288" s="365" t="s">
        <v>885</v>
      </c>
      <c r="B288" s="184">
        <v>0.012</v>
      </c>
      <c r="C288" s="83">
        <v>0.02</v>
      </c>
      <c r="D288" s="83">
        <v>0.045</v>
      </c>
      <c r="E288" s="83">
        <v>0.07</v>
      </c>
      <c r="F288" s="83">
        <v>0.12</v>
      </c>
    </row>
    <row r="289" spans="1:6" ht="12.75">
      <c r="A289" s="179"/>
      <c r="B289" s="184"/>
      <c r="C289" s="83"/>
      <c r="D289" s="83"/>
      <c r="E289" s="83"/>
      <c r="F289" s="83"/>
    </row>
    <row r="290" spans="1:6" ht="12.75">
      <c r="A290" s="179" t="s">
        <v>238</v>
      </c>
      <c r="B290" s="182">
        <f>B253</f>
        <v>1000</v>
      </c>
      <c r="C290" s="23">
        <f>C253</f>
        <v>1040</v>
      </c>
      <c r="D290" s="23">
        <f>D253</f>
        <v>1060</v>
      </c>
      <c r="E290" s="23">
        <f>E253</f>
        <v>1070</v>
      </c>
      <c r="F290" s="23">
        <f>F253</f>
        <v>1075</v>
      </c>
    </row>
    <row r="291" spans="1:6" ht="25.5">
      <c r="A291" s="179" t="s">
        <v>583</v>
      </c>
      <c r="B291" s="182">
        <f>B290/$B243</f>
        <v>250</v>
      </c>
      <c r="C291" s="23">
        <f>C290/$B243</f>
        <v>260</v>
      </c>
      <c r="D291" s="23">
        <f>D290/$B243</f>
        <v>265</v>
      </c>
      <c r="E291" s="23">
        <f>E290/$B243</f>
        <v>267.5</v>
      </c>
      <c r="F291" s="23">
        <f>F290/$B243</f>
        <v>268.75</v>
      </c>
    </row>
    <row r="292" spans="1:6" ht="12.75">
      <c r="A292" s="179" t="s">
        <v>585</v>
      </c>
      <c r="B292" s="182">
        <f>(($B244-$B245)*B291+$B245*$B291)/(1-B288)</f>
        <v>809.7165991902834</v>
      </c>
      <c r="C292" s="23">
        <f>(($B244-$B245)*C291+$B245*$B291)/(1-C288)</f>
        <v>838.7755102040817</v>
      </c>
      <c r="D292" s="23">
        <f>(($B244-$B245)*D291+$B245*$B291)/(1-D288)</f>
        <v>872.2513089005236</v>
      </c>
      <c r="E292" s="23">
        <f>(($B244-$B245)*E291+$B245*$B291)/(1-E288)</f>
        <v>901.6129032258065</v>
      </c>
      <c r="F292" s="23">
        <f>(($B244-$B245)*F291+$B245*$B291)/(1-F288)</f>
        <v>955.9659090909091</v>
      </c>
    </row>
    <row r="293" spans="1:6" ht="12.75">
      <c r="A293" s="179" t="s">
        <v>1116</v>
      </c>
      <c r="B293" s="182">
        <f>B290-B292</f>
        <v>190.28340080971657</v>
      </c>
      <c r="C293" s="23">
        <f>C290-C292</f>
        <v>201.22448979591832</v>
      </c>
      <c r="D293" s="23">
        <f>D290-D292</f>
        <v>187.74869109947645</v>
      </c>
      <c r="E293" s="23">
        <f>E290-E292</f>
        <v>168.38709677419354</v>
      </c>
      <c r="F293" s="23">
        <f>F290-F292</f>
        <v>119.03409090909088</v>
      </c>
    </row>
    <row r="294" spans="1:6" ht="12.75">
      <c r="A294" t="s">
        <v>584</v>
      </c>
      <c r="B294" s="182">
        <f>B293-$B293</f>
        <v>0</v>
      </c>
      <c r="C294" s="23">
        <f>C293-$B293</f>
        <v>10.941088986201748</v>
      </c>
      <c r="D294" s="23">
        <f>D293-$B293</f>
        <v>-2.534709710240122</v>
      </c>
      <c r="E294" s="23">
        <f>E293-$B293</f>
        <v>-21.89630403552303</v>
      </c>
      <c r="F294" s="23">
        <f>F293-$B293</f>
        <v>-71.24930990062569</v>
      </c>
    </row>
    <row r="295" spans="1:6" ht="12.75">
      <c r="A295" s="178"/>
      <c r="B295" s="23"/>
      <c r="C295" s="23"/>
      <c r="D295" s="23"/>
      <c r="E295" s="23"/>
      <c r="F295" s="23"/>
    </row>
    <row r="296" spans="1:6" ht="12.75">
      <c r="A296" s="357" t="s">
        <v>597</v>
      </c>
      <c r="B296" s="23"/>
      <c r="C296" s="23"/>
      <c r="D296" s="23"/>
      <c r="E296" s="23"/>
      <c r="F296" s="23"/>
    </row>
    <row r="297" spans="1:6" ht="12.75">
      <c r="A297" s="179" t="s">
        <v>585</v>
      </c>
      <c r="B297" s="182">
        <f>-B292+$B292</f>
        <v>0</v>
      </c>
      <c r="C297" s="23">
        <f>-C292+$B292</f>
        <v>-29.05891101379825</v>
      </c>
      <c r="D297" s="23">
        <f>-D292+$B292</f>
        <v>-62.53470971024012</v>
      </c>
      <c r="E297" s="23">
        <f>-E292+$B292</f>
        <v>-91.89630403552303</v>
      </c>
      <c r="F297" s="23">
        <f>-F292+$B292</f>
        <v>-146.2493099006257</v>
      </c>
    </row>
    <row r="298" spans="1:6" ht="38.25">
      <c r="A298" s="179" t="s">
        <v>586</v>
      </c>
      <c r="B298" s="182">
        <f>B290*POWER(1+$B287,-B289/360)-$B290</f>
        <v>0</v>
      </c>
      <c r="C298" s="23">
        <f>C290*POWER(1+$B247,-C287/360)-$B290</f>
        <v>32.12933273024328</v>
      </c>
      <c r="D298" s="23">
        <f>D290*POWER(1+$B247,-D287/360)-$B290</f>
        <v>44.01665777654216</v>
      </c>
      <c r="E298" s="23">
        <f>E290*POWER(1+$B247,-E287/360)-$B290</f>
        <v>45.89026804669106</v>
      </c>
      <c r="F298" s="23">
        <f>F290*POWER(1+$B247,-F287/360)-$B290</f>
        <v>42.82537410423561</v>
      </c>
    </row>
    <row r="300" spans="1:6" ht="12.75">
      <c r="A300" s="179" t="s">
        <v>1236</v>
      </c>
      <c r="B300" s="6">
        <f>SUM(B297:B298)</f>
        <v>0</v>
      </c>
      <c r="C300" s="6">
        <f>SUM(C297:C298)</f>
        <v>3.0704217164450256</v>
      </c>
      <c r="D300" s="6">
        <f>SUM(D297:D298)</f>
        <v>-18.51805193369796</v>
      </c>
      <c r="E300" s="6">
        <f>SUM(E297:E298)</f>
        <v>-46.00603598883197</v>
      </c>
      <c r="F300" s="6">
        <f>SUM(F297:F298)</f>
        <v>-103.42393579639008</v>
      </c>
    </row>
    <row r="301" spans="1:6" ht="12.75">
      <c r="A301" s="179"/>
      <c r="B301" s="6"/>
      <c r="C301" s="6"/>
      <c r="D301" s="6"/>
      <c r="E301" s="6"/>
      <c r="F301" s="6"/>
    </row>
    <row r="319" spans="1:3" ht="25.5">
      <c r="A319" s="183" t="s">
        <v>588</v>
      </c>
      <c r="B319" s="141">
        <v>15</v>
      </c>
      <c r="C319" t="s">
        <v>548</v>
      </c>
    </row>
    <row r="322" ht="12.75">
      <c r="A322" s="1" t="s">
        <v>1187</v>
      </c>
    </row>
    <row r="323" ht="12.75">
      <c r="B323" t="s">
        <v>589</v>
      </c>
    </row>
    <row r="324" spans="1:2" ht="12.75">
      <c r="A324" t="s">
        <v>786</v>
      </c>
      <c r="B324">
        <v>541</v>
      </c>
    </row>
    <row r="325" spans="1:2" ht="12.75">
      <c r="A325" t="s">
        <v>787</v>
      </c>
      <c r="B325">
        <v>555</v>
      </c>
    </row>
    <row r="328" ht="12.75">
      <c r="A328" t="s">
        <v>788</v>
      </c>
    </row>
    <row r="329" spans="1:3" ht="12.75">
      <c r="A329" t="s">
        <v>590</v>
      </c>
      <c r="B329">
        <v>77</v>
      </c>
      <c r="C329" s="47"/>
    </row>
    <row r="330" spans="1:3" ht="12.75">
      <c r="A330" s="318" t="s">
        <v>591</v>
      </c>
      <c r="B330">
        <v>17</v>
      </c>
      <c r="C330" s="47"/>
    </row>
    <row r="331" spans="1:2" ht="12.75">
      <c r="A331" s="318" t="s">
        <v>592</v>
      </c>
      <c r="B331">
        <v>240</v>
      </c>
    </row>
    <row r="333" ht="12.75">
      <c r="A333" t="s">
        <v>521</v>
      </c>
    </row>
    <row r="334" spans="1:3" ht="12.75">
      <c r="A334" t="s">
        <v>593</v>
      </c>
      <c r="B334" s="227">
        <f>((B331*B330+B325*(B329-B330))/B329)*B329/100</f>
        <v>373.8</v>
      </c>
      <c r="C334" t="s">
        <v>789</v>
      </c>
    </row>
    <row r="336" ht="12.75">
      <c r="A336" t="s">
        <v>522</v>
      </c>
    </row>
    <row r="337" spans="1:3" ht="12.75">
      <c r="A337" t="s">
        <v>595</v>
      </c>
      <c r="B337" s="108">
        <f>B324*B329/100</f>
        <v>416.57</v>
      </c>
      <c r="C337" t="s">
        <v>789</v>
      </c>
    </row>
    <row r="338" ht="12.75">
      <c r="B338" s="108"/>
    </row>
    <row r="339" spans="1:3" ht="12.75">
      <c r="A339" t="s">
        <v>594</v>
      </c>
      <c r="B339" s="108">
        <f>B325*B329/100</f>
        <v>427.35</v>
      </c>
      <c r="C339" t="s">
        <v>789</v>
      </c>
    </row>
    <row r="341" ht="12.75">
      <c r="A341" t="s">
        <v>617</v>
      </c>
    </row>
    <row r="342" ht="12.75">
      <c r="A342" t="s">
        <v>596</v>
      </c>
    </row>
  </sheetData>
  <printOptions/>
  <pageMargins left="0.7874015748031497" right="0.7874015748031497" top="0.984251968503937" bottom="0.984251968503937" header="0.5118110236220472" footer="0.5118110236220472"/>
  <pageSetup fitToHeight="10" fitToWidth="1" horizontalDpi="200" verticalDpi="200" orientation="landscape" paperSize="9" scale="90" r:id="rId2"/>
  <headerFooter alignWithMargins="0">
    <oddFooter>&amp;L&amp;"Verdana,Italique"&amp;9&amp;F - &amp;A&amp;C&amp;P / &amp;N&amp;R&amp;"Verdana,Italique"&amp;9&amp;D - &amp;T</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F33"/>
  <sheetViews>
    <sheetView showGridLines="0" zoomScale="75" zoomScaleNormal="75" workbookViewId="0" topLeftCell="A1">
      <selection activeCell="A1" sqref="A1"/>
    </sheetView>
  </sheetViews>
  <sheetFormatPr defaultColWidth="11.00390625" defaultRowHeight="12.75"/>
  <cols>
    <col min="1" max="1" width="38.00390625" style="0" customWidth="1"/>
  </cols>
  <sheetData>
    <row r="1" ht="14.25">
      <c r="A1" s="41" t="s">
        <v>370</v>
      </c>
    </row>
    <row r="2" ht="14.25">
      <c r="A2" s="20"/>
    </row>
    <row r="3" spans="2:3" ht="12.75">
      <c r="B3" t="s">
        <v>525</v>
      </c>
      <c r="C3" t="s">
        <v>526</v>
      </c>
    </row>
    <row r="4" spans="1:3" ht="12.75">
      <c r="A4" t="s">
        <v>598</v>
      </c>
      <c r="B4">
        <f>B6/B5</f>
        <v>10</v>
      </c>
      <c r="C4">
        <v>18</v>
      </c>
    </row>
    <row r="5" spans="1:3" ht="12.75">
      <c r="A5" t="s">
        <v>599</v>
      </c>
      <c r="B5">
        <v>140</v>
      </c>
      <c r="C5">
        <f>+C6/C4</f>
        <v>55</v>
      </c>
    </row>
    <row r="6" spans="1:3" ht="12.75">
      <c r="A6" t="s">
        <v>601</v>
      </c>
      <c r="B6">
        <v>1400</v>
      </c>
      <c r="C6">
        <v>990</v>
      </c>
    </row>
    <row r="7" spans="1:3" ht="12.75">
      <c r="A7" t="s">
        <v>600</v>
      </c>
      <c r="B7">
        <f>B6</f>
        <v>1400</v>
      </c>
      <c r="C7">
        <f>C6</f>
        <v>990</v>
      </c>
    </row>
    <row r="8" spans="3:6" ht="12.75">
      <c r="C8" s="55"/>
      <c r="D8" s="55"/>
      <c r="E8" s="55"/>
      <c r="F8" s="55"/>
    </row>
    <row r="9" spans="1:6" ht="12.75">
      <c r="A9" t="s">
        <v>603</v>
      </c>
      <c r="B9">
        <f>B5</f>
        <v>140</v>
      </c>
      <c r="C9" s="55"/>
      <c r="D9" s="55"/>
      <c r="E9" s="55"/>
      <c r="F9" s="55"/>
    </row>
    <row r="10" spans="1:2" ht="12.75">
      <c r="A10" t="s">
        <v>604</v>
      </c>
      <c r="B10">
        <f>C5</f>
        <v>55</v>
      </c>
    </row>
    <row r="11" spans="1:2" ht="12.75">
      <c r="A11" t="s">
        <v>771</v>
      </c>
      <c r="B11">
        <f>B10*50%</f>
        <v>27.5</v>
      </c>
    </row>
    <row r="12" spans="1:2" ht="12.75">
      <c r="A12" t="s">
        <v>602</v>
      </c>
      <c r="B12">
        <f>SUM(B9:B11)</f>
        <v>222.5</v>
      </c>
    </row>
    <row r="14" spans="1:2" ht="12.75">
      <c r="A14" t="s">
        <v>605</v>
      </c>
      <c r="B14" s="47">
        <f>B12/B9-1</f>
        <v>0.5892857142857142</v>
      </c>
    </row>
    <row r="15" spans="1:2" ht="12.75">
      <c r="A15" t="s">
        <v>606</v>
      </c>
      <c r="B15" s="47">
        <f>C6/B6</f>
        <v>0.7071428571428572</v>
      </c>
    </row>
    <row r="16" spans="1:2" ht="12.75">
      <c r="A16" t="s">
        <v>607</v>
      </c>
      <c r="B16" s="47">
        <f>(1+B14)/(1+B15)-1</f>
        <v>-0.06903765690376584</v>
      </c>
    </row>
    <row r="19" ht="14.25">
      <c r="A19" s="41" t="s">
        <v>1108</v>
      </c>
    </row>
    <row r="20" ht="12.75">
      <c r="A20" s="1"/>
    </row>
    <row r="21" ht="12.75">
      <c r="A21" s="85" t="s">
        <v>773</v>
      </c>
    </row>
    <row r="22" spans="1:2" ht="12.75">
      <c r="A22" s="85"/>
      <c r="B22">
        <v>2001</v>
      </c>
    </row>
    <row r="23" spans="1:2" ht="12.75">
      <c r="A23" t="s">
        <v>608</v>
      </c>
      <c r="B23" s="83">
        <v>0.085</v>
      </c>
    </row>
    <row r="24" spans="1:2" ht="12.75">
      <c r="A24" t="s">
        <v>609</v>
      </c>
      <c r="B24">
        <v>2100</v>
      </c>
    </row>
    <row r="26" spans="1:2" ht="12.75">
      <c r="A26" t="s">
        <v>1116</v>
      </c>
      <c r="B26">
        <v>232</v>
      </c>
    </row>
    <row r="27" spans="1:2" ht="12.75">
      <c r="A27" t="s">
        <v>232</v>
      </c>
      <c r="B27" s="47">
        <v>0.35</v>
      </c>
    </row>
    <row r="28" spans="1:2" ht="12.75">
      <c r="A28" t="s">
        <v>1112</v>
      </c>
      <c r="B28">
        <v>1199</v>
      </c>
    </row>
    <row r="29" spans="1:2" ht="12.75">
      <c r="A29" t="s">
        <v>1115</v>
      </c>
      <c r="B29">
        <v>-55</v>
      </c>
    </row>
    <row r="30" spans="1:2" ht="12.75">
      <c r="A30" t="s">
        <v>610</v>
      </c>
      <c r="B30">
        <v>1155</v>
      </c>
    </row>
    <row r="32" spans="1:2" ht="12.75">
      <c r="A32" t="s">
        <v>774</v>
      </c>
      <c r="B32">
        <f>B26*(1-B27)-B28*B23</f>
        <v>48.885000000000005</v>
      </c>
    </row>
    <row r="33" spans="1:2" ht="12.75">
      <c r="A33" t="s">
        <v>772</v>
      </c>
      <c r="B33">
        <f>B24-B30</f>
        <v>945</v>
      </c>
    </row>
  </sheetData>
  <printOptions/>
  <pageMargins left="0.7874015748031497" right="0.7874015748031497" top="0.984251968503937" bottom="0.984251968503937" header="0.5118110236220472" footer="0.5118110236220472"/>
  <pageSetup fitToHeight="4" fitToWidth="1" horizontalDpi="200" verticalDpi="200" orientation="landscape" paperSize="9" scale="88" r:id="rId2"/>
  <headerFooter alignWithMargins="0">
    <oddFooter>&amp;L&amp;"Verdana,Italique"&amp;9&amp;F - &amp;A&amp;C&amp;P / &amp;N&amp;R&amp;"Verdana,Italique"&amp;9&amp;D - &amp;T</oddFooter>
  </headerFooter>
  <drawing r:id="rId1"/>
</worksheet>
</file>

<file path=xl/worksheets/sheet17.xml><?xml version="1.0" encoding="utf-8"?>
<worksheet xmlns="http://schemas.openxmlformats.org/spreadsheetml/2006/main" xmlns:r="http://schemas.openxmlformats.org/officeDocument/2006/relationships">
  <dimension ref="A1:D12"/>
  <sheetViews>
    <sheetView showGridLines="0" zoomScale="75" zoomScaleNormal="75" workbookViewId="0" topLeftCell="A1">
      <selection activeCell="A13" sqref="A13"/>
    </sheetView>
  </sheetViews>
  <sheetFormatPr defaultColWidth="11.00390625" defaultRowHeight="12.75"/>
  <cols>
    <col min="1" max="1" width="16.625" style="0" customWidth="1"/>
  </cols>
  <sheetData>
    <row r="1" ht="14.25">
      <c r="A1" s="41" t="s">
        <v>370</v>
      </c>
    </row>
    <row r="2" spans="1:3" ht="12.75">
      <c r="A2" s="179" t="s">
        <v>611</v>
      </c>
      <c r="B2" s="6">
        <v>-2.5</v>
      </c>
      <c r="C2" t="s">
        <v>976</v>
      </c>
    </row>
    <row r="3" spans="1:3" ht="12.75">
      <c r="A3" s="179" t="s">
        <v>612</v>
      </c>
      <c r="B3" s="6">
        <v>5</v>
      </c>
      <c r="C3" t="s">
        <v>976</v>
      </c>
    </row>
    <row r="4" ht="12.75">
      <c r="A4" s="178"/>
    </row>
    <row r="5" spans="1:2" ht="12.75">
      <c r="A5" s="183" t="s">
        <v>1284</v>
      </c>
      <c r="B5" s="99">
        <v>0.14869806393960094</v>
      </c>
    </row>
    <row r="6" spans="1:2" ht="12.75">
      <c r="A6" s="179" t="s">
        <v>1236</v>
      </c>
      <c r="B6" s="6">
        <f>B2+B3*POWER(1+B5,-5)</f>
        <v>3.1672550715455827E-06</v>
      </c>
    </row>
    <row r="7" ht="12.75">
      <c r="A7" s="178"/>
    </row>
    <row r="8" spans="1:3" ht="12.75">
      <c r="A8" s="179" t="s">
        <v>612</v>
      </c>
      <c r="B8" s="6">
        <v>5</v>
      </c>
      <c r="C8" t="s">
        <v>976</v>
      </c>
    </row>
    <row r="9" spans="1:2" ht="12.75">
      <c r="A9" s="179" t="s">
        <v>1284</v>
      </c>
      <c r="B9" s="195">
        <v>0.2</v>
      </c>
    </row>
    <row r="10" spans="1:2" ht="12.75">
      <c r="A10" s="179" t="s">
        <v>1236</v>
      </c>
      <c r="B10" s="6">
        <f>B12+B8*POWER(1+B9,-5)</f>
        <v>0</v>
      </c>
    </row>
    <row r="11" ht="12.75">
      <c r="A11" s="178"/>
    </row>
    <row r="12" spans="1:4" ht="25.5">
      <c r="A12" s="183" t="s">
        <v>488</v>
      </c>
      <c r="B12" s="134">
        <v>-2.0093878600823043</v>
      </c>
      <c r="C12" s="1" t="s">
        <v>976</v>
      </c>
      <c r="D12" t="s">
        <v>986</v>
      </c>
    </row>
  </sheetData>
  <printOptions/>
  <pageMargins left="0.7874015748031497" right="0.7874015748031497" top="0.984251968503937" bottom="0.984251968503937" header="0.5118110236220472" footer="0.5118110236220472"/>
  <pageSetup horizontalDpi="200" verticalDpi="200" orientation="landscape" paperSize="9" r:id="rId2"/>
  <headerFooter alignWithMargins="0">
    <oddFooter>&amp;L&amp;"Verdana,Italique"&amp;9&amp;F - &amp;A&amp;C&amp;P / &amp;N&amp;R&amp;"Verdana,Italique"&amp;9&amp;D - &amp;T</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N101"/>
  <sheetViews>
    <sheetView showGridLines="0" zoomScale="75" zoomScaleNormal="75" workbookViewId="0" topLeftCell="A1">
      <selection activeCell="A1" sqref="A1"/>
    </sheetView>
  </sheetViews>
  <sheetFormatPr defaultColWidth="11.00390625" defaultRowHeight="12.75"/>
  <cols>
    <col min="1" max="1" width="16.875" style="0" customWidth="1"/>
  </cols>
  <sheetData>
    <row r="1" ht="14.25">
      <c r="A1" s="41" t="s">
        <v>31</v>
      </c>
    </row>
    <row r="2" spans="1:14" ht="12.75">
      <c r="A2" t="s">
        <v>20</v>
      </c>
      <c r="B2">
        <v>1</v>
      </c>
      <c r="C2">
        <f>B2+1</f>
        <v>2</v>
      </c>
      <c r="D2">
        <f aca="true" t="shared" si="0" ref="D2:N2">C2+1</f>
        <v>3</v>
      </c>
      <c r="E2">
        <f t="shared" si="0"/>
        <v>4</v>
      </c>
      <c r="F2">
        <f t="shared" si="0"/>
        <v>5</v>
      </c>
      <c r="G2">
        <f t="shared" si="0"/>
        <v>6</v>
      </c>
      <c r="H2">
        <f t="shared" si="0"/>
        <v>7</v>
      </c>
      <c r="I2">
        <f t="shared" si="0"/>
        <v>8</v>
      </c>
      <c r="J2">
        <f t="shared" si="0"/>
        <v>9</v>
      </c>
      <c r="K2">
        <f t="shared" si="0"/>
        <v>10</v>
      </c>
      <c r="L2">
        <f t="shared" si="0"/>
        <v>11</v>
      </c>
      <c r="M2">
        <f t="shared" si="0"/>
        <v>12</v>
      </c>
      <c r="N2">
        <f t="shared" si="0"/>
        <v>13</v>
      </c>
    </row>
    <row r="3" spans="1:14" ht="12.75">
      <c r="A3" t="s">
        <v>32</v>
      </c>
      <c r="B3" s="68">
        <v>24.8</v>
      </c>
      <c r="C3" s="68">
        <v>25.6</v>
      </c>
      <c r="D3" s="68">
        <v>25.3</v>
      </c>
      <c r="E3" s="68">
        <v>18.5</v>
      </c>
      <c r="F3" s="68">
        <v>17.1</v>
      </c>
      <c r="G3" s="68">
        <v>17.9</v>
      </c>
      <c r="H3" s="68">
        <v>17.8</v>
      </c>
      <c r="I3" s="68">
        <v>17.3</v>
      </c>
      <c r="J3" s="68">
        <v>14.8</v>
      </c>
      <c r="K3" s="68">
        <v>16</v>
      </c>
      <c r="L3" s="68">
        <v>13.1</v>
      </c>
      <c r="M3" s="68">
        <v>12.9</v>
      </c>
      <c r="N3" s="68">
        <v>12.9</v>
      </c>
    </row>
    <row r="4" spans="1:14" ht="12.75">
      <c r="A4" t="s">
        <v>33</v>
      </c>
      <c r="B4">
        <v>1650</v>
      </c>
      <c r="C4">
        <v>1611</v>
      </c>
      <c r="D4">
        <v>1509</v>
      </c>
      <c r="E4">
        <v>1256</v>
      </c>
      <c r="F4">
        <v>1342</v>
      </c>
      <c r="G4">
        <v>1400</v>
      </c>
      <c r="H4">
        <v>1433</v>
      </c>
      <c r="I4">
        <v>1437</v>
      </c>
      <c r="J4">
        <v>1426</v>
      </c>
      <c r="K4">
        <v>1503</v>
      </c>
      <c r="L4">
        <v>1462</v>
      </c>
      <c r="M4">
        <v>1371</v>
      </c>
      <c r="N4">
        <v>1285</v>
      </c>
    </row>
    <row r="6" spans="1:2" ht="12.75">
      <c r="A6" t="s">
        <v>34</v>
      </c>
      <c r="B6" s="251">
        <f>N3/B3-1</f>
        <v>-0.4798387096774194</v>
      </c>
    </row>
    <row r="7" spans="1:2" ht="12.75">
      <c r="A7" t="s">
        <v>35</v>
      </c>
      <c r="B7" s="251">
        <f>N4/B4-1</f>
        <v>-0.2212121212121212</v>
      </c>
    </row>
    <row r="9" ht="12.75">
      <c r="A9" s="330" t="s">
        <v>36</v>
      </c>
    </row>
    <row r="10" spans="1:14" ht="12.75">
      <c r="A10" s="22" t="s">
        <v>527</v>
      </c>
      <c r="B10" s="116"/>
      <c r="C10" s="116">
        <f>(C3-B3)/B3</f>
        <v>0.03225806451612906</v>
      </c>
      <c r="D10" s="116">
        <f aca="true" t="shared" si="1" ref="D10:N11">(D3-C3)/C3</f>
        <v>-0.011718750000000028</v>
      </c>
      <c r="E10" s="116">
        <f t="shared" si="1"/>
        <v>-0.26877470355731226</v>
      </c>
      <c r="F10" s="116">
        <f t="shared" si="1"/>
        <v>-0.0756756756756756</v>
      </c>
      <c r="G10" s="116">
        <f t="shared" si="1"/>
        <v>0.04678362573099398</v>
      </c>
      <c r="H10" s="116">
        <f t="shared" si="1"/>
        <v>-0.005586592178770831</v>
      </c>
      <c r="I10" s="116">
        <f t="shared" si="1"/>
        <v>-0.028089887640449437</v>
      </c>
      <c r="J10" s="116">
        <f t="shared" si="1"/>
        <v>-0.1445086705202312</v>
      </c>
      <c r="K10" s="116">
        <f t="shared" si="1"/>
        <v>0.08108108108108103</v>
      </c>
      <c r="L10" s="116">
        <f t="shared" si="1"/>
        <v>-0.18125000000000002</v>
      </c>
      <c r="M10" s="116">
        <f t="shared" si="1"/>
        <v>-0.01526717557251903</v>
      </c>
      <c r="N10" s="116">
        <f t="shared" si="1"/>
        <v>0</v>
      </c>
    </row>
    <row r="11" spans="1:14" ht="12.75">
      <c r="A11" s="22" t="s">
        <v>37</v>
      </c>
      <c r="B11" s="116"/>
      <c r="C11" s="116">
        <f>(C4-B4)/B4</f>
        <v>-0.023636363636363636</v>
      </c>
      <c r="D11" s="116">
        <f t="shared" si="1"/>
        <v>-0.0633147113594041</v>
      </c>
      <c r="E11" s="116">
        <f t="shared" si="1"/>
        <v>-0.16766070245195494</v>
      </c>
      <c r="F11" s="116">
        <f t="shared" si="1"/>
        <v>0.06847133757961783</v>
      </c>
      <c r="G11" s="116">
        <f t="shared" si="1"/>
        <v>0.043219076005961254</v>
      </c>
      <c r="H11" s="116">
        <f t="shared" si="1"/>
        <v>0.023571428571428573</v>
      </c>
      <c r="I11" s="116">
        <f t="shared" si="1"/>
        <v>0.0027913468248429866</v>
      </c>
      <c r="J11" s="116">
        <f t="shared" si="1"/>
        <v>-0.007654836464857342</v>
      </c>
      <c r="K11" s="116">
        <f t="shared" si="1"/>
        <v>0.05399719495091164</v>
      </c>
      <c r="L11" s="116">
        <f t="shared" si="1"/>
        <v>-0.027278775781769793</v>
      </c>
      <c r="M11" s="116">
        <f t="shared" si="1"/>
        <v>-0.06224350205198358</v>
      </c>
      <c r="N11" s="116">
        <f t="shared" si="1"/>
        <v>-0.06272793581327499</v>
      </c>
    </row>
    <row r="13" spans="1:2" ht="12.75">
      <c r="A13" t="s">
        <v>38</v>
      </c>
      <c r="B13" s="225">
        <f>STDEV(C10:N10)</f>
        <v>0.1024911949508984</v>
      </c>
    </row>
    <row r="14" spans="1:3" ht="12.75">
      <c r="A14" t="s">
        <v>929</v>
      </c>
      <c r="B14" s="173">
        <f>LINEST(C10:N10,C11:N11,TRUE,FALSE)</f>
        <v>0.899793360659295</v>
      </c>
      <c r="C14" t="s">
        <v>30</v>
      </c>
    </row>
    <row r="15" ht="12.75">
      <c r="A15" s="144" t="s">
        <v>39</v>
      </c>
    </row>
    <row r="16" spans="3:14" ht="12.75">
      <c r="C16">
        <f>(C10-AVERAGE($C10:$N10))*(C$11-AVERAGE($C$11:$N$11))</f>
        <v>-0.00040688423644423554</v>
      </c>
      <c r="D16">
        <f aca="true" t="shared" si="2" ref="D16:N17">(D10-AVERAGE($C10:$N10))*(D$11-AVERAGE($C$11:$N$11))</f>
        <v>-0.0016049291417918412</v>
      </c>
      <c r="E16">
        <f t="shared" si="2"/>
        <v>0.03298758544431414</v>
      </c>
      <c r="F16">
        <f t="shared" si="2"/>
        <v>-0.002446142803207795</v>
      </c>
      <c r="G16">
        <f t="shared" si="2"/>
        <v>0.00582661619355008</v>
      </c>
      <c r="H16">
        <f t="shared" si="2"/>
        <v>0.0017676134051062497</v>
      </c>
      <c r="I16">
        <f t="shared" si="2"/>
        <v>0.00041535271012114403</v>
      </c>
      <c r="J16">
        <f t="shared" si="2"/>
        <v>-0.0010551665941285068</v>
      </c>
      <c r="K16">
        <f t="shared" si="2"/>
        <v>0.009331291235799885</v>
      </c>
      <c r="L16">
        <f t="shared" si="2"/>
        <v>0.0011684170724047805</v>
      </c>
      <c r="M16">
        <f t="shared" si="2"/>
        <v>-0.001411450467732973</v>
      </c>
      <c r="N16">
        <f t="shared" si="2"/>
        <v>-0.00210173758162643</v>
      </c>
    </row>
    <row r="17" spans="3:14" ht="12.75">
      <c r="C17">
        <f>(C11-AVERAGE($C11:$N11))*(C$11-AVERAGE($C$11:$N$11))</f>
        <v>2.59844382914637E-05</v>
      </c>
      <c r="D17">
        <f t="shared" si="2"/>
        <v>0.002004875942376675</v>
      </c>
      <c r="E17">
        <f t="shared" si="2"/>
        <v>0.0222373208236886</v>
      </c>
      <c r="F17">
        <f t="shared" si="2"/>
        <v>0.007570776275643624</v>
      </c>
      <c r="G17">
        <f t="shared" si="2"/>
        <v>0.0038140439322063204</v>
      </c>
      <c r="H17">
        <f t="shared" si="2"/>
        <v>0.0017732772712294549</v>
      </c>
      <c r="I17">
        <f t="shared" si="2"/>
        <v>0.00045497816268838385</v>
      </c>
      <c r="J17">
        <f t="shared" si="2"/>
        <v>0.00011846219257322918</v>
      </c>
      <c r="K17">
        <f t="shared" si="2"/>
        <v>0.005261480762409064</v>
      </c>
      <c r="L17">
        <f t="shared" si="2"/>
        <v>7.638594779116427E-05</v>
      </c>
      <c r="M17">
        <f t="shared" si="2"/>
        <v>0.0019100948363809421</v>
      </c>
      <c r="N17">
        <f t="shared" si="2"/>
        <v>0.0019526735107387911</v>
      </c>
    </row>
    <row r="18" spans="1:2" ht="12.75">
      <c r="A18" t="s">
        <v>929</v>
      </c>
      <c r="B18" s="6">
        <f>SUM(C16:N16)/SUM(C17:N17)</f>
        <v>0.8997933606592952</v>
      </c>
    </row>
    <row r="20" spans="1:2" ht="12.75">
      <c r="A20" t="s">
        <v>40</v>
      </c>
      <c r="B20" s="225">
        <f>STDEV(B11:N11)</f>
        <v>0.06550527674513067</v>
      </c>
    </row>
    <row r="21" ht="12.75">
      <c r="B21" s="84"/>
    </row>
    <row r="22" spans="1:2" ht="12.75">
      <c r="A22" t="s">
        <v>41</v>
      </c>
      <c r="B22" s="145">
        <f>B18*B20</f>
        <v>0.0589412131034183</v>
      </c>
    </row>
    <row r="23" spans="1:2" ht="12.75">
      <c r="A23" t="s">
        <v>42</v>
      </c>
      <c r="B23" s="145">
        <f>SQRT(B13*B13-B22*B22)</f>
        <v>0.08384735201758307</v>
      </c>
    </row>
    <row r="25" spans="1:2" ht="38.25">
      <c r="A25" s="3" t="s">
        <v>43</v>
      </c>
      <c r="B25" s="83">
        <f>B22/B13</f>
        <v>0.5750856269326934</v>
      </c>
    </row>
    <row r="28" ht="14.25">
      <c r="A28" s="41" t="s">
        <v>1108</v>
      </c>
    </row>
    <row r="29" spans="1:2" ht="12.75">
      <c r="A29" t="s">
        <v>45</v>
      </c>
      <c r="B29" s="87">
        <v>0.1</v>
      </c>
    </row>
    <row r="30" spans="1:2" ht="12.75">
      <c r="A30" t="s">
        <v>44</v>
      </c>
      <c r="B30" s="87">
        <v>0.18</v>
      </c>
    </row>
    <row r="33" ht="12.75">
      <c r="A33" s="1" t="s">
        <v>922</v>
      </c>
    </row>
    <row r="34" spans="1:2" ht="25.5">
      <c r="A34" s="3" t="s">
        <v>46</v>
      </c>
      <c r="B34" s="87">
        <f>4/18</f>
        <v>0.2222222222222222</v>
      </c>
    </row>
    <row r="36" spans="1:2" ht="12.75">
      <c r="A36" t="s">
        <v>44</v>
      </c>
      <c r="B36" s="87">
        <f>(1-B34)*B30</f>
        <v>0.13999999999999999</v>
      </c>
    </row>
    <row r="37" ht="12.75">
      <c r="B37" s="87"/>
    </row>
    <row r="39" ht="12.75">
      <c r="A39" s="1" t="s">
        <v>923</v>
      </c>
    </row>
    <row r="40" spans="1:2" ht="25.5">
      <c r="A40" s="3" t="s">
        <v>47</v>
      </c>
      <c r="B40" s="87">
        <f>5/18</f>
        <v>0.2777777777777778</v>
      </c>
    </row>
    <row r="42" spans="1:2" ht="12.75">
      <c r="A42" t="s">
        <v>44</v>
      </c>
      <c r="B42" s="47">
        <f>B30*(1+B40)</f>
        <v>0.22999999999999998</v>
      </c>
    </row>
    <row r="44" ht="14.25">
      <c r="A44" s="41" t="s">
        <v>1118</v>
      </c>
    </row>
    <row r="45" spans="1:2" ht="12.75">
      <c r="A45" t="s">
        <v>48</v>
      </c>
      <c r="B45" s="67">
        <v>0.13</v>
      </c>
    </row>
    <row r="46" spans="1:2" ht="12.75">
      <c r="A46" t="s">
        <v>531</v>
      </c>
      <c r="B46" s="67">
        <v>0.17</v>
      </c>
    </row>
    <row r="47" spans="1:2" ht="12.75">
      <c r="A47" t="s">
        <v>49</v>
      </c>
      <c r="B47" s="67">
        <v>0.06</v>
      </c>
    </row>
    <row r="48" spans="1:2" ht="12.75">
      <c r="A48" t="s">
        <v>528</v>
      </c>
      <c r="B48" s="67">
        <v>0.1</v>
      </c>
    </row>
    <row r="49" spans="1:2" ht="12.75">
      <c r="A49" t="s">
        <v>532</v>
      </c>
      <c r="B49" s="109">
        <v>0.3</v>
      </c>
    </row>
    <row r="51" spans="1:12" ht="12.75">
      <c r="A51" t="s">
        <v>533</v>
      </c>
      <c r="B51" s="67">
        <v>0</v>
      </c>
      <c r="C51" s="67">
        <v>0.1</v>
      </c>
      <c r="D51" s="117">
        <f>B57</f>
        <v>0.1707317073170731</v>
      </c>
      <c r="E51" s="67">
        <v>0.3</v>
      </c>
      <c r="F51" s="67">
        <v>0.4</v>
      </c>
      <c r="G51" s="67">
        <v>0.5</v>
      </c>
      <c r="H51" s="67">
        <v>0.6</v>
      </c>
      <c r="I51" s="67">
        <v>0.7</v>
      </c>
      <c r="J51" s="67">
        <v>0.8</v>
      </c>
      <c r="K51" s="67">
        <v>0.9</v>
      </c>
      <c r="L51" s="67">
        <v>1</v>
      </c>
    </row>
    <row r="52" spans="1:12" ht="12.75">
      <c r="A52" t="s">
        <v>529</v>
      </c>
      <c r="B52" s="67">
        <f>1-B51</f>
        <v>1</v>
      </c>
      <c r="C52" s="67">
        <f aca="true" t="shared" si="3" ref="C52:L52">1-C51</f>
        <v>0.9</v>
      </c>
      <c r="D52" s="117">
        <f t="shared" si="3"/>
        <v>0.8292682926829269</v>
      </c>
      <c r="E52" s="67">
        <f t="shared" si="3"/>
        <v>0.7</v>
      </c>
      <c r="F52" s="67">
        <f t="shared" si="3"/>
        <v>0.6</v>
      </c>
      <c r="G52" s="67">
        <f t="shared" si="3"/>
        <v>0.5</v>
      </c>
      <c r="H52" s="67">
        <f t="shared" si="3"/>
        <v>0.4</v>
      </c>
      <c r="I52" s="67">
        <f t="shared" si="3"/>
        <v>0.30000000000000004</v>
      </c>
      <c r="J52" s="67">
        <f t="shared" si="3"/>
        <v>0.19999999999999996</v>
      </c>
      <c r="K52" s="67">
        <f t="shared" si="3"/>
        <v>0.09999999999999998</v>
      </c>
      <c r="L52" s="67">
        <f t="shared" si="3"/>
        <v>0</v>
      </c>
    </row>
    <row r="53" spans="1:12" ht="12.75">
      <c r="A53" t="s">
        <v>534</v>
      </c>
      <c r="B53" s="84">
        <f>SQRT(B52*B52*$B48*$B48+B51*B51*$B46*$B46+2*B51*B52*$B49*$B48*$B46)</f>
        <v>0.1</v>
      </c>
      <c r="C53" s="84">
        <f aca="true" t="shared" si="4" ref="C53:L53">SQRT(C52*C52*$B48*$B48+C51*C51*$B46*$B46+2*C51*C52*$B49*$B48*$B46)</f>
        <v>0.09647279409242795</v>
      </c>
      <c r="D53" s="99">
        <f t="shared" si="4"/>
        <v>0.0957257260831504</v>
      </c>
      <c r="E53" s="84">
        <f t="shared" si="4"/>
        <v>0.09819877799647</v>
      </c>
      <c r="F53" s="84">
        <f t="shared" si="4"/>
        <v>0.10330537256115968</v>
      </c>
      <c r="G53" s="84">
        <f t="shared" si="4"/>
        <v>0.1107925990308017</v>
      </c>
      <c r="H53" s="84">
        <f t="shared" si="4"/>
        <v>0.12021647141718976</v>
      </c>
      <c r="I53" s="84">
        <f t="shared" si="4"/>
        <v>0.13116020738013492</v>
      </c>
      <c r="J53" s="84">
        <f t="shared" si="4"/>
        <v>0.14327595750857858</v>
      </c>
      <c r="K53" s="84">
        <f t="shared" si="4"/>
        <v>0.15629139451678076</v>
      </c>
      <c r="L53" s="84">
        <f t="shared" si="4"/>
        <v>0.17</v>
      </c>
    </row>
    <row r="54" spans="1:12" ht="12.75">
      <c r="A54" t="s">
        <v>535</v>
      </c>
      <c r="B54" s="84">
        <f>B52*$B47+B51*$B45</f>
        <v>0.06</v>
      </c>
      <c r="C54" s="84">
        <f aca="true" t="shared" si="5" ref="C54:L54">C52*$B47+C51*$B45</f>
        <v>0.067</v>
      </c>
      <c r="D54" s="99">
        <f t="shared" si="5"/>
        <v>0.07195121951219512</v>
      </c>
      <c r="E54" s="84">
        <f t="shared" si="5"/>
        <v>0.08099999999999999</v>
      </c>
      <c r="F54" s="84">
        <f t="shared" si="5"/>
        <v>0.088</v>
      </c>
      <c r="G54" s="84">
        <f t="shared" si="5"/>
        <v>0.095</v>
      </c>
      <c r="H54" s="84">
        <f t="shared" si="5"/>
        <v>0.10200000000000001</v>
      </c>
      <c r="I54" s="84">
        <f t="shared" si="5"/>
        <v>0.109</v>
      </c>
      <c r="J54" s="84">
        <f t="shared" si="5"/>
        <v>0.116</v>
      </c>
      <c r="K54" s="84">
        <f t="shared" si="5"/>
        <v>0.123</v>
      </c>
      <c r="L54" s="84">
        <f t="shared" si="5"/>
        <v>0.13</v>
      </c>
    </row>
    <row r="56" spans="1:2" ht="12.75">
      <c r="A56" t="s">
        <v>530</v>
      </c>
      <c r="B56" s="67">
        <f>(B46*B46-B49*B48*B46)/(B48*B48+B46*B46-2*B49*B48*B46)</f>
        <v>0.8292682926829269</v>
      </c>
    </row>
    <row r="57" spans="1:2" ht="12.75">
      <c r="A57" t="s">
        <v>536</v>
      </c>
      <c r="B57" s="87">
        <f>1-B56</f>
        <v>0.1707317073170731</v>
      </c>
    </row>
    <row r="72" ht="14.25">
      <c r="A72" s="41" t="s">
        <v>495</v>
      </c>
    </row>
    <row r="73" spans="1:3" ht="12.75">
      <c r="A73" t="s">
        <v>590</v>
      </c>
      <c r="B73" s="4" t="s">
        <v>525</v>
      </c>
      <c r="C73" s="4" t="s">
        <v>526</v>
      </c>
    </row>
    <row r="74" spans="1:3" ht="12.75">
      <c r="A74" t="s">
        <v>50</v>
      </c>
      <c r="B74" s="47">
        <v>0.1</v>
      </c>
      <c r="C74" s="47">
        <v>0.2</v>
      </c>
    </row>
    <row r="75" spans="1:3" ht="12.75">
      <c r="A75" t="s">
        <v>44</v>
      </c>
      <c r="B75" s="47">
        <v>0.15</v>
      </c>
      <c r="C75" s="47">
        <v>0.3</v>
      </c>
    </row>
    <row r="76" spans="2:3" ht="12.75">
      <c r="B76" s="47"/>
      <c r="C76" s="47"/>
    </row>
    <row r="77" spans="1:2" ht="12.75">
      <c r="A77" t="s">
        <v>925</v>
      </c>
      <c r="B77" s="47">
        <v>0.25</v>
      </c>
    </row>
    <row r="79" spans="1:8" ht="12.75">
      <c r="A79" t="s">
        <v>51</v>
      </c>
      <c r="C79" s="4" t="s">
        <v>930</v>
      </c>
      <c r="D79" s="4" t="s">
        <v>537</v>
      </c>
      <c r="E79" s="4" t="s">
        <v>929</v>
      </c>
      <c r="F79" s="4" t="s">
        <v>928</v>
      </c>
      <c r="G79" s="4" t="s">
        <v>927</v>
      </c>
      <c r="H79" s="4" t="s">
        <v>926</v>
      </c>
    </row>
    <row r="80" spans="1:8" ht="12.75">
      <c r="A80" t="s">
        <v>525</v>
      </c>
      <c r="B80" s="87">
        <v>2</v>
      </c>
      <c r="C80" s="87">
        <v>1</v>
      </c>
      <c r="D80" s="87">
        <f>(C75*C75-B77*B75*C75)/(B75*B75+C75*C75-2*B77*B75*C75)</f>
        <v>0.875</v>
      </c>
      <c r="E80" s="87">
        <v>0.75</v>
      </c>
      <c r="F80" s="87">
        <v>0.5</v>
      </c>
      <c r="G80" s="87">
        <v>0.25</v>
      </c>
      <c r="H80" s="87">
        <v>0</v>
      </c>
    </row>
    <row r="81" spans="1:8" ht="12.75">
      <c r="A81" t="s">
        <v>526</v>
      </c>
      <c r="B81" s="87">
        <f aca="true" t="shared" si="6" ref="B81:H81">1-B80</f>
        <v>-1</v>
      </c>
      <c r="C81" s="87">
        <f t="shared" si="6"/>
        <v>0</v>
      </c>
      <c r="D81" s="87">
        <f t="shared" si="6"/>
        <v>0.125</v>
      </c>
      <c r="E81" s="87">
        <f t="shared" si="6"/>
        <v>0.25</v>
      </c>
      <c r="F81" s="87">
        <f t="shared" si="6"/>
        <v>0.5</v>
      </c>
      <c r="G81" s="87">
        <f t="shared" si="6"/>
        <v>0.75</v>
      </c>
      <c r="H81" s="87">
        <f t="shared" si="6"/>
        <v>1</v>
      </c>
    </row>
    <row r="82" spans="1:8" ht="12.75">
      <c r="A82" t="s">
        <v>44</v>
      </c>
      <c r="B82" s="84">
        <f aca="true" t="shared" si="7" ref="B82:H82">SQRT(B80*B80*$B$75*$B$75+B81*B81*$C$75*$C$75+2*B80*B81*$B$77*$B$75*$C$75)</f>
        <v>0.3674234614174767</v>
      </c>
      <c r="C82" s="84">
        <f t="shared" si="7"/>
        <v>0.15</v>
      </c>
      <c r="D82" s="84">
        <f t="shared" si="7"/>
        <v>0.14523687548277814</v>
      </c>
      <c r="E82" s="84">
        <f t="shared" si="7"/>
        <v>0.15</v>
      </c>
      <c r="F82" s="84">
        <f t="shared" si="7"/>
        <v>0.18371173070873834</v>
      </c>
      <c r="G82" s="84">
        <f t="shared" si="7"/>
        <v>0.23717082451262844</v>
      </c>
      <c r="H82" s="84">
        <f t="shared" si="7"/>
        <v>0.3</v>
      </c>
    </row>
    <row r="83" spans="1:8" ht="12.75">
      <c r="A83" t="s">
        <v>50</v>
      </c>
      <c r="B83" s="83">
        <f>$B$74*B80+$C$74*B81</f>
        <v>0</v>
      </c>
      <c r="C83" s="83">
        <f aca="true" t="shared" si="8" ref="C83:H83">$B$74*C80+$C$74*C81</f>
        <v>0.1</v>
      </c>
      <c r="D83" s="83">
        <f t="shared" si="8"/>
        <v>0.11250000000000002</v>
      </c>
      <c r="E83" s="83">
        <f t="shared" si="8"/>
        <v>0.125</v>
      </c>
      <c r="F83" s="83">
        <f t="shared" si="8"/>
        <v>0.15000000000000002</v>
      </c>
      <c r="G83" s="83">
        <f t="shared" si="8"/>
        <v>0.17500000000000002</v>
      </c>
      <c r="H83" s="83">
        <f t="shared" si="8"/>
        <v>0.2</v>
      </c>
    </row>
    <row r="101" ht="12.75">
      <c r="A101" s="118"/>
    </row>
  </sheetData>
  <printOptions/>
  <pageMargins left="0.7874015748031497" right="0.7874015748031497" top="0.984251968503937" bottom="0.984251968503937" header="0.5118110236220472" footer="0.5118110236220472"/>
  <pageSetup fitToHeight="5" fitToWidth="1" horizontalDpi="200" verticalDpi="200" orientation="landscape" paperSize="9" scale="82" r:id="rId2"/>
  <headerFooter alignWithMargins="0">
    <oddFooter>&amp;L&amp;"Verdana,Italique"&amp;9&amp;F - &amp;A&amp;C&amp;P / &amp;N&amp;R&amp;"Verdana,Italique"&amp;9&amp;D - &amp;T</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F64"/>
  <sheetViews>
    <sheetView showGridLines="0" zoomScale="75" zoomScaleNormal="75" workbookViewId="0" topLeftCell="A42">
      <selection activeCell="A60" sqref="A60"/>
    </sheetView>
  </sheetViews>
  <sheetFormatPr defaultColWidth="11.00390625" defaultRowHeight="12.75"/>
  <cols>
    <col min="1" max="1" width="19.375" style="0" bestFit="1" customWidth="1"/>
  </cols>
  <sheetData>
    <row r="1" ht="14.25">
      <c r="A1" s="41" t="s">
        <v>370</v>
      </c>
    </row>
    <row r="2" spans="1:2" ht="12.75">
      <c r="A2" t="s">
        <v>538</v>
      </c>
      <c r="B2">
        <v>0.7</v>
      </c>
    </row>
    <row r="3" spans="1:2" ht="12.75">
      <c r="A3" t="s">
        <v>539</v>
      </c>
      <c r="B3">
        <v>1.1</v>
      </c>
    </row>
    <row r="4" spans="1:2" ht="12.75">
      <c r="A4" t="s">
        <v>540</v>
      </c>
      <c r="B4" s="87">
        <v>0.1</v>
      </c>
    </row>
    <row r="5" spans="1:2" ht="12.75">
      <c r="A5" t="s">
        <v>52</v>
      </c>
      <c r="B5" s="87">
        <v>0.05</v>
      </c>
    </row>
    <row r="7" spans="1:2" ht="12.75">
      <c r="A7" t="s">
        <v>541</v>
      </c>
      <c r="B7" s="67">
        <f>B5+B2*(B4-B5)/B3</f>
        <v>0.08181818181818182</v>
      </c>
    </row>
    <row r="9" ht="14.25">
      <c r="A9" s="41" t="s">
        <v>1108</v>
      </c>
    </row>
    <row r="10" spans="1:2" ht="12.75">
      <c r="A10" t="s">
        <v>52</v>
      </c>
      <c r="B10" s="83">
        <v>0.055</v>
      </c>
    </row>
    <row r="11" spans="1:2" ht="12.75">
      <c r="A11" t="s">
        <v>53</v>
      </c>
      <c r="B11" s="47">
        <v>0.04</v>
      </c>
    </row>
    <row r="13" spans="1:6" ht="12.75">
      <c r="A13" s="33" t="s">
        <v>54</v>
      </c>
      <c r="B13" s="61" t="s">
        <v>542</v>
      </c>
      <c r="C13" s="33" t="s">
        <v>543</v>
      </c>
      <c r="D13" s="33" t="s">
        <v>544</v>
      </c>
      <c r="E13" s="33" t="s">
        <v>545</v>
      </c>
      <c r="F13" s="33" t="s">
        <v>546</v>
      </c>
    </row>
    <row r="14" spans="1:6" ht="12.75">
      <c r="A14" t="s">
        <v>929</v>
      </c>
      <c r="B14" s="119">
        <v>0.4</v>
      </c>
      <c r="C14" s="109">
        <v>0.7</v>
      </c>
      <c r="D14" s="109">
        <v>1</v>
      </c>
      <c r="E14" s="109">
        <v>1.3</v>
      </c>
      <c r="F14" s="109">
        <v>2</v>
      </c>
    </row>
    <row r="15" spans="1:6" ht="12.75">
      <c r="A15" t="s">
        <v>1228</v>
      </c>
      <c r="B15" s="120">
        <v>0.09</v>
      </c>
      <c r="C15" s="87">
        <v>0.083</v>
      </c>
      <c r="D15" s="87">
        <v>0.09</v>
      </c>
      <c r="E15" s="87">
        <v>0.1</v>
      </c>
      <c r="F15" s="87">
        <v>0.15</v>
      </c>
    </row>
    <row r="16" spans="1:6" ht="12.75">
      <c r="A16" t="s">
        <v>55</v>
      </c>
      <c r="B16" s="121" t="str">
        <f>IF($B10+B14*$B11&gt;B15,"sur-é",IF($B10+B14*$B11=B15,"Ok !!","sous-é"))</f>
        <v>sous-é</v>
      </c>
      <c r="C16" s="106" t="str">
        <f>IF($B10+C14*$B11&gt;C15,"sur-é",IF($B10+C14*$B11=C15,"Ok !!","sous-é"))</f>
        <v>Ok !!</v>
      </c>
      <c r="D16" s="106" t="str">
        <f>IF($B10+D14*$B11&gt;D15,"sur-é",IF($B10+D14*$B11=D15,"Ok !!","sous-é"))</f>
        <v>sur-é</v>
      </c>
      <c r="E16" s="106" t="str">
        <f>IF($B10+E14*$B11&gt;E15,"sur-é",IF($B10+E14*$B11=E15,"Ok !!","sous-é"))</f>
        <v>sur-é</v>
      </c>
      <c r="F16" s="106" t="str">
        <f>IF($B10+F14*$B11&gt;F15,"sur-é",IF($B10+F14*$B11=F15,"Ok !!","sous-é"))</f>
        <v>sous-é</v>
      </c>
    </row>
    <row r="18" ht="14.25">
      <c r="A18" s="41" t="s">
        <v>1118</v>
      </c>
    </row>
    <row r="19" spans="1:3" ht="12.75">
      <c r="A19" t="s">
        <v>56</v>
      </c>
      <c r="B19" s="75">
        <v>40</v>
      </c>
      <c r="C19" t="s">
        <v>931</v>
      </c>
    </row>
    <row r="20" spans="1:2" ht="12.75">
      <c r="A20" t="s">
        <v>932</v>
      </c>
      <c r="B20">
        <v>2.7</v>
      </c>
    </row>
    <row r="21" spans="1:2" ht="12.75">
      <c r="A21" t="s">
        <v>57</v>
      </c>
      <c r="B21" s="47">
        <v>0.09</v>
      </c>
    </row>
    <row r="22" spans="1:2" ht="12.75">
      <c r="A22" t="s">
        <v>52</v>
      </c>
      <c r="B22" s="47">
        <v>0.05</v>
      </c>
    </row>
    <row r="24" spans="1:2" ht="12.75">
      <c r="A24" t="s">
        <v>58</v>
      </c>
      <c r="B24" s="47">
        <f>B22+(B21-B22)*B20</f>
        <v>0.15799999999999997</v>
      </c>
    </row>
    <row r="25" spans="1:3" ht="12.75">
      <c r="A25" t="s">
        <v>1196</v>
      </c>
      <c r="B25" s="75">
        <f>B19/(1+B24)</f>
        <v>34.54231433506045</v>
      </c>
      <c r="C25" t="s">
        <v>931</v>
      </c>
    </row>
    <row r="27" ht="14.25">
      <c r="A27" s="41" t="s">
        <v>495</v>
      </c>
    </row>
    <row r="28" spans="1:2" ht="12.75">
      <c r="A28" t="s">
        <v>929</v>
      </c>
      <c r="B28">
        <v>1.2</v>
      </c>
    </row>
    <row r="29" spans="1:2" ht="12.75">
      <c r="A29" t="s">
        <v>52</v>
      </c>
      <c r="B29" s="83">
        <v>0.056</v>
      </c>
    </row>
    <row r="30" spans="1:2" ht="12.75">
      <c r="A30" t="s">
        <v>53</v>
      </c>
      <c r="B30" s="47">
        <v>0.03</v>
      </c>
    </row>
    <row r="32" spans="1:3" ht="12.75">
      <c r="A32" t="s">
        <v>933</v>
      </c>
      <c r="B32">
        <v>-0.4</v>
      </c>
      <c r="C32">
        <v>0</v>
      </c>
    </row>
    <row r="33" spans="1:3" ht="12.75">
      <c r="A33" t="s">
        <v>934</v>
      </c>
      <c r="B33" s="83">
        <f>$B29+B32*2%+B38*5%</f>
        <v>0.092</v>
      </c>
      <c r="C33" s="83">
        <f>$B29+C32*2%+C38*5%</f>
        <v>0.092</v>
      </c>
    </row>
    <row r="35" spans="1:3" ht="12.75">
      <c r="A35" t="s">
        <v>59</v>
      </c>
      <c r="B35" s="83">
        <f>$B29+$B30*$B28</f>
        <v>0.092</v>
      </c>
      <c r="C35" s="83">
        <f>$B29+$B30*$B28</f>
        <v>0.092</v>
      </c>
    </row>
    <row r="36" spans="1:3" ht="12.75">
      <c r="A36" t="s">
        <v>60</v>
      </c>
      <c r="B36" s="83">
        <f>B33-B35</f>
        <v>0</v>
      </c>
      <c r="C36" s="83">
        <f>C33-C35</f>
        <v>0</v>
      </c>
    </row>
    <row r="38" spans="1:3" ht="12.75">
      <c r="A38" s="1" t="s">
        <v>935</v>
      </c>
      <c r="B38" s="1">
        <v>0.88</v>
      </c>
      <c r="C38" s="1">
        <v>0.72</v>
      </c>
    </row>
    <row r="40" ht="14.25">
      <c r="A40" s="41" t="s">
        <v>515</v>
      </c>
    </row>
    <row r="42" spans="1:2" ht="12.75">
      <c r="A42" t="s">
        <v>836</v>
      </c>
      <c r="B42" s="47">
        <v>0.05</v>
      </c>
    </row>
    <row r="43" spans="1:2" ht="12.75">
      <c r="A43" t="s">
        <v>837</v>
      </c>
      <c r="B43" s="47">
        <v>0.13</v>
      </c>
    </row>
    <row r="45" ht="12.75">
      <c r="A45" t="s">
        <v>521</v>
      </c>
    </row>
    <row r="46" spans="1:2" ht="12.75">
      <c r="A46" t="s">
        <v>53</v>
      </c>
      <c r="B46" s="47">
        <f>B43-B42</f>
        <v>0.08</v>
      </c>
    </row>
    <row r="48" ht="12.75">
      <c r="A48" t="s">
        <v>522</v>
      </c>
    </row>
    <row r="49" spans="1:2" ht="12.75">
      <c r="A49" t="s">
        <v>742</v>
      </c>
      <c r="B49">
        <v>1.6</v>
      </c>
    </row>
    <row r="50" spans="1:2" ht="12.75">
      <c r="A50" t="s">
        <v>1277</v>
      </c>
      <c r="B50" s="47">
        <f>B42+B49*B46</f>
        <v>0.178</v>
      </c>
    </row>
    <row r="52" ht="12.75">
      <c r="A52" t="s">
        <v>617</v>
      </c>
    </row>
    <row r="53" spans="1:2" ht="12.75">
      <c r="A53" t="s">
        <v>50</v>
      </c>
      <c r="B53" s="47">
        <v>0.17</v>
      </c>
    </row>
    <row r="54" spans="1:2" ht="12.75">
      <c r="A54" t="s">
        <v>742</v>
      </c>
      <c r="B54">
        <f>(B53-B42)/B46</f>
        <v>1.5</v>
      </c>
    </row>
    <row r="56" ht="12.75">
      <c r="A56" t="s">
        <v>618</v>
      </c>
    </row>
    <row r="57" ht="12.75">
      <c r="A57" t="s">
        <v>838</v>
      </c>
    </row>
    <row r="58" ht="12.75">
      <c r="A58" s="30" t="s">
        <v>839</v>
      </c>
    </row>
    <row r="60" ht="14.25">
      <c r="A60" s="384"/>
    </row>
    <row r="62" ht="12.75">
      <c r="B62" s="47"/>
    </row>
    <row r="63" ht="12.75">
      <c r="B63" s="47"/>
    </row>
    <row r="64" ht="12.75">
      <c r="B64" s="47"/>
    </row>
  </sheetData>
  <printOptions/>
  <pageMargins left="0.7874015748031497" right="0.7874015748031497" top="0.984251968503937" bottom="0.984251968503937" header="0.5118110236220472" footer="0.5118110236220472"/>
  <pageSetup fitToHeight="2"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Z138"/>
  <sheetViews>
    <sheetView showGridLines="0" zoomScale="75" zoomScaleNormal="75" workbookViewId="0" topLeftCell="A1">
      <selection activeCell="A1" sqref="A1"/>
    </sheetView>
  </sheetViews>
  <sheetFormatPr defaultColWidth="11.00390625" defaultRowHeight="12.75"/>
  <cols>
    <col min="1" max="1" width="44.25390625" style="0" customWidth="1"/>
    <col min="2" max="2" width="12.75390625" style="23" bestFit="1" customWidth="1"/>
    <col min="3" max="3" width="13.875" style="0" customWidth="1"/>
    <col min="5" max="5" width="13.375" style="0" customWidth="1"/>
    <col min="7" max="7" width="13.50390625" style="0" bestFit="1" customWidth="1"/>
    <col min="10" max="10" width="11.75390625" style="0" bestFit="1" customWidth="1"/>
  </cols>
  <sheetData>
    <row r="1" spans="1:3" ht="14.25">
      <c r="A1" s="41" t="s">
        <v>840</v>
      </c>
      <c r="B1" s="39" t="s">
        <v>791</v>
      </c>
      <c r="C1" s="3" t="s">
        <v>791</v>
      </c>
    </row>
    <row r="2" spans="1:5" ht="12.75">
      <c r="A2" s="21" t="s">
        <v>180</v>
      </c>
      <c r="E2" s="21" t="s">
        <v>186</v>
      </c>
    </row>
    <row r="3" spans="1:7" ht="12.75">
      <c r="A3" t="s">
        <v>238</v>
      </c>
      <c r="B3" s="23">
        <f>J30</f>
        <v>340500</v>
      </c>
      <c r="C3" s="23"/>
      <c r="E3" t="s">
        <v>187</v>
      </c>
      <c r="G3" s="109">
        <f>I30*B43</f>
        <v>340500</v>
      </c>
    </row>
    <row r="4" spans="1:3" ht="12.75">
      <c r="A4" t="s">
        <v>182</v>
      </c>
      <c r="B4" s="23">
        <f>B5+B6</f>
        <v>19175</v>
      </c>
      <c r="C4" s="23"/>
    </row>
    <row r="5" spans="1:9" s="28" customFormat="1" ht="12.75">
      <c r="A5" s="347" t="s">
        <v>482</v>
      </c>
      <c r="B5" s="27">
        <f>G30*B30</f>
        <v>14300</v>
      </c>
      <c r="C5" s="27"/>
      <c r="I5"/>
    </row>
    <row r="6" spans="1:3" s="28" customFormat="1" ht="10.5">
      <c r="A6" s="26" t="s">
        <v>210</v>
      </c>
      <c r="B6" s="27">
        <f>G30/B42*B44</f>
        <v>4875</v>
      </c>
      <c r="C6" s="52"/>
    </row>
    <row r="7" spans="1:9" ht="12.75">
      <c r="A7" s="1" t="s">
        <v>1096</v>
      </c>
      <c r="B7" s="23">
        <f>B3+B4</f>
        <v>359675</v>
      </c>
      <c r="C7" s="23"/>
      <c r="H7" t="s">
        <v>791</v>
      </c>
      <c r="I7" t="s">
        <v>791</v>
      </c>
    </row>
    <row r="8" spans="1:7" ht="12.75">
      <c r="A8" t="s">
        <v>22</v>
      </c>
      <c r="B8" s="23">
        <f>B9+B10+B11+B12</f>
        <v>354000</v>
      </c>
      <c r="C8" s="23"/>
      <c r="E8" t="s">
        <v>188</v>
      </c>
      <c r="G8" s="109">
        <f>G9+G10+G11</f>
        <v>339825</v>
      </c>
    </row>
    <row r="9" spans="1:7" s="28" customFormat="1" ht="10.5">
      <c r="A9" s="26" t="s">
        <v>190</v>
      </c>
      <c r="B9" s="27">
        <f>B44</f>
        <v>90000</v>
      </c>
      <c r="C9" s="27"/>
      <c r="E9" s="28" t="s">
        <v>190</v>
      </c>
      <c r="G9" s="328">
        <f>B9*I30/(I30+G30)</f>
        <v>85125</v>
      </c>
    </row>
    <row r="10" spans="1:7" s="28" customFormat="1" ht="10.5">
      <c r="A10" s="26" t="s">
        <v>199</v>
      </c>
      <c r="B10" s="27">
        <f>J31</f>
        <v>267050</v>
      </c>
      <c r="C10" s="27"/>
      <c r="E10" s="28" t="s">
        <v>189</v>
      </c>
      <c r="G10" s="328">
        <f>I30*SUM(B32:B39)</f>
        <v>249700</v>
      </c>
    </row>
    <row r="11" spans="1:7" s="28" customFormat="1" ht="10.5">
      <c r="A11" s="26" t="s">
        <v>200</v>
      </c>
      <c r="B11" s="27">
        <f>-H31</f>
        <v>-3050</v>
      </c>
      <c r="C11" s="27"/>
      <c r="E11" s="26" t="s">
        <v>185</v>
      </c>
      <c r="G11" s="328">
        <f>B15</f>
        <v>5000</v>
      </c>
    </row>
    <row r="12" spans="1:3" s="28" customFormat="1" ht="10.5">
      <c r="A12" s="26" t="s">
        <v>215</v>
      </c>
      <c r="B12" s="27">
        <f>B55*B56</f>
        <v>0</v>
      </c>
      <c r="C12" s="27"/>
    </row>
    <row r="13" spans="1:3" ht="12.75">
      <c r="A13" s="1" t="s">
        <v>183</v>
      </c>
      <c r="B13" s="23">
        <f>B7-B8</f>
        <v>5675</v>
      </c>
      <c r="C13" s="23"/>
    </row>
    <row r="14" spans="1:3" ht="12.75">
      <c r="A14" t="s">
        <v>184</v>
      </c>
      <c r="B14" s="23">
        <f>B15</f>
        <v>5000</v>
      </c>
      <c r="C14" s="23"/>
    </row>
    <row r="15" spans="1:3" s="28" customFormat="1" ht="10.5">
      <c r="A15" s="26" t="s">
        <v>185</v>
      </c>
      <c r="B15" s="27">
        <f>B48/B51*(12-B56)/12</f>
        <v>5000</v>
      </c>
      <c r="C15" s="27"/>
    </row>
    <row r="16" spans="1:3" ht="12.75">
      <c r="A16" s="330" t="s">
        <v>269</v>
      </c>
      <c r="B16" s="23">
        <v>0</v>
      </c>
      <c r="C16" s="23"/>
    </row>
    <row r="17" spans="1:7" ht="12.75">
      <c r="A17" s="1" t="s">
        <v>201</v>
      </c>
      <c r="B17" s="23">
        <f>B13-B14-B16</f>
        <v>675</v>
      </c>
      <c r="C17" s="23"/>
      <c r="E17" s="1" t="s">
        <v>201</v>
      </c>
      <c r="G17" s="109">
        <f>G3-G8</f>
        <v>675</v>
      </c>
    </row>
    <row r="18" spans="1:4" ht="12.75">
      <c r="A18" t="s">
        <v>202</v>
      </c>
      <c r="C18" s="23"/>
      <c r="D18" s="23">
        <f>D19</f>
        <v>600</v>
      </c>
    </row>
    <row r="19" spans="1:4" s="28" customFormat="1" ht="10.5">
      <c r="A19" s="26" t="s">
        <v>203</v>
      </c>
      <c r="C19" s="27"/>
      <c r="D19" s="27">
        <f>$B58*$B59*B60/12</f>
        <v>600</v>
      </c>
    </row>
    <row r="20" spans="1:4" ht="12.75">
      <c r="A20" s="1" t="s">
        <v>207</v>
      </c>
      <c r="C20" s="23"/>
      <c r="D20" s="23">
        <f>B17-D18</f>
        <v>75</v>
      </c>
    </row>
    <row r="21" spans="1:4" ht="12.75">
      <c r="A21" t="s">
        <v>204</v>
      </c>
      <c r="C21" s="23"/>
      <c r="D21" s="23">
        <v>45000</v>
      </c>
    </row>
    <row r="22" spans="1:4" s="28" customFormat="1" ht="10.5">
      <c r="A22" s="26" t="s">
        <v>208</v>
      </c>
      <c r="D22" s="27">
        <f>B53</f>
        <v>45000</v>
      </c>
    </row>
    <row r="23" spans="1:4" ht="12.75">
      <c r="A23" t="s">
        <v>206</v>
      </c>
      <c r="C23" s="23"/>
      <c r="D23" s="23">
        <f>(D20+D21)*$B62</f>
        <v>15776.249999999998</v>
      </c>
    </row>
    <row r="24" spans="1:4" ht="12.75">
      <c r="A24" s="1" t="s">
        <v>205</v>
      </c>
      <c r="C24" s="23"/>
      <c r="D24" s="23">
        <f>D20+D21-D23</f>
        <v>29298.75</v>
      </c>
    </row>
    <row r="25" spans="1:4" ht="12.75">
      <c r="A25" t="s">
        <v>209</v>
      </c>
      <c r="D25" s="23"/>
    </row>
    <row r="26" spans="1:4" ht="12.75">
      <c r="A26" s="1" t="s">
        <v>211</v>
      </c>
      <c r="C26" s="23"/>
      <c r="D26" s="23">
        <f>D24-D25</f>
        <v>29298.75</v>
      </c>
    </row>
    <row r="29" spans="1:9" ht="12.75">
      <c r="A29" t="s">
        <v>214</v>
      </c>
      <c r="B29" t="s">
        <v>216</v>
      </c>
      <c r="C29" s="23" t="s">
        <v>217</v>
      </c>
      <c r="D29" t="s">
        <v>218</v>
      </c>
      <c r="E29" t="s">
        <v>219</v>
      </c>
      <c r="F29" t="s">
        <v>220</v>
      </c>
      <c r="G29" t="s">
        <v>15</v>
      </c>
      <c r="I29" t="s">
        <v>221</v>
      </c>
    </row>
    <row r="30" spans="1:10" s="13" customFormat="1" ht="10.5">
      <c r="A30" s="22" t="s">
        <v>213</v>
      </c>
      <c r="B30" s="24">
        <f>SUM(B32:B39)</f>
        <v>1100</v>
      </c>
      <c r="C30" s="13">
        <v>14</v>
      </c>
      <c r="D30" s="24">
        <f>B30*C30</f>
        <v>15400</v>
      </c>
      <c r="E30" s="13">
        <v>27</v>
      </c>
      <c r="F30" s="24">
        <f>B30*E30</f>
        <v>29700</v>
      </c>
      <c r="G30" s="13">
        <f>E30-C30</f>
        <v>13</v>
      </c>
      <c r="H30" s="24">
        <f aca="true" t="shared" si="0" ref="H30:H39">F30-D30</f>
        <v>14300</v>
      </c>
      <c r="I30" s="13">
        <f>B42+C30-E30</f>
        <v>227</v>
      </c>
      <c r="J30" s="24">
        <f>I30*B43</f>
        <v>340500</v>
      </c>
    </row>
    <row r="31" spans="1:10" ht="12.75">
      <c r="A31" t="s">
        <v>198</v>
      </c>
      <c r="B31"/>
      <c r="C31" s="23"/>
      <c r="D31" s="23">
        <f>SUM(D32:D39)</f>
        <v>5400</v>
      </c>
      <c r="F31" s="23">
        <f>SUM(F32:F39)</f>
        <v>8450</v>
      </c>
      <c r="G31" s="24"/>
      <c r="H31" s="23">
        <f t="shared" si="0"/>
        <v>3050</v>
      </c>
      <c r="I31" t="s">
        <v>222</v>
      </c>
      <c r="J31" s="23">
        <f>SUM(J32:J39)</f>
        <v>267050</v>
      </c>
    </row>
    <row r="32" spans="1:10" s="13" customFormat="1" ht="10.5">
      <c r="A32" s="22" t="s">
        <v>191</v>
      </c>
      <c r="B32" s="24">
        <v>50</v>
      </c>
      <c r="C32" s="13">
        <v>5</v>
      </c>
      <c r="D32" s="24">
        <f>B32*C32</f>
        <v>250</v>
      </c>
      <c r="E32" s="13">
        <v>13</v>
      </c>
      <c r="F32" s="24">
        <f>B32*E32</f>
        <v>650</v>
      </c>
      <c r="G32" s="13">
        <f aca="true" t="shared" si="1" ref="G32:G39">E32-C32</f>
        <v>8</v>
      </c>
      <c r="H32" s="24">
        <f t="shared" si="0"/>
        <v>400</v>
      </c>
      <c r="I32" s="13">
        <f>B$42+G32</f>
        <v>248</v>
      </c>
      <c r="J32" s="24">
        <f>I32*B32</f>
        <v>12400</v>
      </c>
    </row>
    <row r="33" spans="1:10" s="13" customFormat="1" ht="10.5">
      <c r="A33" s="22" t="s">
        <v>192</v>
      </c>
      <c r="B33" s="24">
        <v>200</v>
      </c>
      <c r="C33" s="13">
        <v>8</v>
      </c>
      <c r="D33" s="24">
        <f aca="true" t="shared" si="2" ref="D33:D39">B33*C33</f>
        <v>1600</v>
      </c>
      <c r="E33" s="13">
        <v>2</v>
      </c>
      <c r="F33" s="24">
        <f aca="true" t="shared" si="3" ref="F33:F39">B33*E33</f>
        <v>400</v>
      </c>
      <c r="G33" s="13">
        <f t="shared" si="1"/>
        <v>-6</v>
      </c>
      <c r="H33" s="24">
        <f t="shared" si="0"/>
        <v>-1200</v>
      </c>
      <c r="I33" s="13">
        <f aca="true" t="shared" si="4" ref="I33:I39">B$42+G33</f>
        <v>234</v>
      </c>
      <c r="J33" s="24">
        <f aca="true" t="shared" si="5" ref="J33:J39">I33*B33</f>
        <v>46800</v>
      </c>
    </row>
    <row r="34" spans="1:10" s="13" customFormat="1" ht="10.5">
      <c r="A34" s="22" t="s">
        <v>193</v>
      </c>
      <c r="B34" s="24">
        <v>300</v>
      </c>
      <c r="C34" s="13">
        <v>4</v>
      </c>
      <c r="D34" s="24">
        <f t="shared" si="2"/>
        <v>1200</v>
      </c>
      <c r="E34" s="13">
        <v>11</v>
      </c>
      <c r="F34" s="24">
        <f t="shared" si="3"/>
        <v>3300</v>
      </c>
      <c r="G34" s="13">
        <f t="shared" si="1"/>
        <v>7</v>
      </c>
      <c r="H34" s="24">
        <f t="shared" si="0"/>
        <v>2100</v>
      </c>
      <c r="I34" s="13">
        <f t="shared" si="4"/>
        <v>247</v>
      </c>
      <c r="J34" s="24">
        <f t="shared" si="5"/>
        <v>74100</v>
      </c>
    </row>
    <row r="35" spans="1:10" s="13" customFormat="1" ht="10.5">
      <c r="A35" s="22" t="s">
        <v>194</v>
      </c>
      <c r="B35" s="24">
        <v>100</v>
      </c>
      <c r="C35" s="13">
        <v>6</v>
      </c>
      <c r="D35" s="24">
        <f t="shared" si="2"/>
        <v>600</v>
      </c>
      <c r="E35" s="13">
        <v>4</v>
      </c>
      <c r="F35" s="24">
        <f t="shared" si="3"/>
        <v>400</v>
      </c>
      <c r="G35" s="13">
        <f t="shared" si="1"/>
        <v>-2</v>
      </c>
      <c r="H35" s="24">
        <f t="shared" si="0"/>
        <v>-200</v>
      </c>
      <c r="I35" s="13">
        <f t="shared" si="4"/>
        <v>238</v>
      </c>
      <c r="J35" s="24">
        <f t="shared" si="5"/>
        <v>23800</v>
      </c>
    </row>
    <row r="36" spans="1:10" s="13" customFormat="1" ht="10.5">
      <c r="A36" s="22" t="s">
        <v>195</v>
      </c>
      <c r="B36" s="24">
        <v>50</v>
      </c>
      <c r="C36" s="13">
        <v>1</v>
      </c>
      <c r="D36" s="24">
        <f t="shared" si="2"/>
        <v>50</v>
      </c>
      <c r="E36" s="13">
        <v>13</v>
      </c>
      <c r="F36" s="24">
        <f t="shared" si="3"/>
        <v>650</v>
      </c>
      <c r="G36" s="13">
        <f t="shared" si="1"/>
        <v>12</v>
      </c>
      <c r="H36" s="24">
        <f t="shared" si="0"/>
        <v>600</v>
      </c>
      <c r="I36" s="13">
        <f t="shared" si="4"/>
        <v>252</v>
      </c>
      <c r="J36" s="24">
        <f t="shared" si="5"/>
        <v>12600</v>
      </c>
    </row>
    <row r="37" spans="1:10" s="13" customFormat="1" ht="10.5">
      <c r="A37" s="22" t="s">
        <v>196</v>
      </c>
      <c r="B37" s="24">
        <v>150</v>
      </c>
      <c r="C37" s="13">
        <v>5</v>
      </c>
      <c r="D37" s="24">
        <f t="shared" si="2"/>
        <v>750</v>
      </c>
      <c r="E37" s="13">
        <v>10</v>
      </c>
      <c r="F37" s="24">
        <f t="shared" si="3"/>
        <v>1500</v>
      </c>
      <c r="G37" s="13">
        <f t="shared" si="1"/>
        <v>5</v>
      </c>
      <c r="H37" s="24">
        <f t="shared" si="0"/>
        <v>750</v>
      </c>
      <c r="I37" s="13">
        <f t="shared" si="4"/>
        <v>245</v>
      </c>
      <c r="J37" s="24">
        <f t="shared" si="5"/>
        <v>36750</v>
      </c>
    </row>
    <row r="38" spans="1:10" s="13" customFormat="1" ht="10.5">
      <c r="A38" s="22" t="s">
        <v>212</v>
      </c>
      <c r="B38" s="24">
        <v>200</v>
      </c>
      <c r="C38" s="13">
        <v>3</v>
      </c>
      <c r="D38" s="24">
        <f t="shared" si="2"/>
        <v>600</v>
      </c>
      <c r="E38" s="13">
        <v>3</v>
      </c>
      <c r="F38" s="24">
        <f t="shared" si="3"/>
        <v>600</v>
      </c>
      <c r="G38" s="13">
        <f t="shared" si="1"/>
        <v>0</v>
      </c>
      <c r="H38" s="24">
        <f t="shared" si="0"/>
        <v>0</v>
      </c>
      <c r="I38" s="13">
        <f t="shared" si="4"/>
        <v>240</v>
      </c>
      <c r="J38" s="24">
        <f t="shared" si="5"/>
        <v>48000</v>
      </c>
    </row>
    <row r="39" spans="1:10" s="13" customFormat="1" ht="10.5">
      <c r="A39" s="22" t="s">
        <v>197</v>
      </c>
      <c r="B39" s="24">
        <v>50</v>
      </c>
      <c r="C39" s="13">
        <v>7</v>
      </c>
      <c r="D39" s="24">
        <f t="shared" si="2"/>
        <v>350</v>
      </c>
      <c r="E39" s="13">
        <v>19</v>
      </c>
      <c r="F39" s="24">
        <f t="shared" si="3"/>
        <v>950</v>
      </c>
      <c r="G39" s="13">
        <f t="shared" si="1"/>
        <v>12</v>
      </c>
      <c r="H39" s="24">
        <f t="shared" si="0"/>
        <v>600</v>
      </c>
      <c r="I39" s="13">
        <f t="shared" si="4"/>
        <v>252</v>
      </c>
      <c r="J39" s="24">
        <f t="shared" si="5"/>
        <v>12600</v>
      </c>
    </row>
    <row r="42" spans="1:2" ht="12.75">
      <c r="A42" t="s">
        <v>223</v>
      </c>
      <c r="B42">
        <v>240</v>
      </c>
    </row>
    <row r="43" spans="1:2" ht="12.75">
      <c r="A43" t="s">
        <v>224</v>
      </c>
      <c r="B43" s="23">
        <v>1500</v>
      </c>
    </row>
    <row r="44" spans="1:2" ht="12.75">
      <c r="A44" t="s">
        <v>225</v>
      </c>
      <c r="B44" s="23">
        <f>B45+B46</f>
        <v>90000</v>
      </c>
    </row>
    <row r="45" spans="1:2" s="28" customFormat="1" ht="10.5">
      <c r="A45" s="26" t="s">
        <v>226</v>
      </c>
      <c r="B45" s="27">
        <v>60000</v>
      </c>
    </row>
    <row r="46" spans="1:2" s="28" customFormat="1" ht="10.5">
      <c r="A46" s="347" t="s">
        <v>509</v>
      </c>
      <c r="B46" s="27">
        <f>B45*0.5</f>
        <v>30000</v>
      </c>
    </row>
    <row r="47" ht="12.75">
      <c r="B47"/>
    </row>
    <row r="48" spans="1:2" ht="12.75">
      <c r="A48" t="s">
        <v>233</v>
      </c>
      <c r="B48" s="23">
        <v>200000</v>
      </c>
    </row>
    <row r="49" spans="1:2" ht="12.75">
      <c r="A49" t="s">
        <v>227</v>
      </c>
      <c r="B49" s="23">
        <f>B48*(1-B52/B51)</f>
        <v>185000</v>
      </c>
    </row>
    <row r="50" spans="1:2" ht="12.75">
      <c r="A50" t="s">
        <v>234</v>
      </c>
      <c r="B50" s="23">
        <v>230000</v>
      </c>
    </row>
    <row r="51" spans="1:2" ht="12.75">
      <c r="A51" s="330" t="s">
        <v>559</v>
      </c>
      <c r="B51">
        <v>40</v>
      </c>
    </row>
    <row r="52" spans="1:2" ht="12.75">
      <c r="A52" s="330" t="s">
        <v>884</v>
      </c>
      <c r="B52">
        <v>3</v>
      </c>
    </row>
    <row r="53" spans="1:2" ht="12.75">
      <c r="A53" s="330" t="s">
        <v>235</v>
      </c>
      <c r="B53" s="23">
        <f>B50-B49</f>
        <v>45000</v>
      </c>
    </row>
    <row r="54" ht="12.75">
      <c r="A54" s="330"/>
    </row>
    <row r="55" spans="1:2" ht="12.75">
      <c r="A55" t="s">
        <v>215</v>
      </c>
      <c r="B55" s="23">
        <v>1000</v>
      </c>
    </row>
    <row r="56" spans="1:3" ht="12.75">
      <c r="A56" t="s">
        <v>228</v>
      </c>
      <c r="B56" s="23">
        <v>0</v>
      </c>
      <c r="C56" s="23">
        <v>12</v>
      </c>
    </row>
    <row r="58" spans="1:2" ht="12.75">
      <c r="A58" t="s">
        <v>229</v>
      </c>
      <c r="B58" s="23">
        <v>12000</v>
      </c>
    </row>
    <row r="59" spans="1:2" ht="12.75">
      <c r="A59" t="s">
        <v>230</v>
      </c>
      <c r="B59" s="25">
        <v>0.05</v>
      </c>
    </row>
    <row r="60" spans="1:3" ht="12.75">
      <c r="A60" t="s">
        <v>231</v>
      </c>
      <c r="B60" s="23">
        <v>12</v>
      </c>
      <c r="C60" s="23">
        <v>0</v>
      </c>
    </row>
    <row r="62" spans="1:2" ht="12.75">
      <c r="A62" t="s">
        <v>232</v>
      </c>
      <c r="B62" s="25">
        <v>0.35</v>
      </c>
    </row>
    <row r="65" ht="14.25">
      <c r="A65" s="41" t="s">
        <v>841</v>
      </c>
    </row>
    <row r="66" spans="1:4" ht="12.75">
      <c r="A66" s="2" t="s">
        <v>28</v>
      </c>
      <c r="B66" s="43">
        <v>1</v>
      </c>
      <c r="C66" s="43">
        <v>2</v>
      </c>
      <c r="D66" s="43">
        <v>3</v>
      </c>
    </row>
    <row r="67" spans="1:4" ht="12.75">
      <c r="A67" s="3" t="s">
        <v>238</v>
      </c>
      <c r="B67" s="23">
        <f>B68+B69</f>
        <v>142</v>
      </c>
      <c r="C67" s="23">
        <f>C68+C69</f>
        <v>144</v>
      </c>
      <c r="D67" s="23">
        <f>D68+D69</f>
        <v>144</v>
      </c>
    </row>
    <row r="68" spans="1:4" s="24" customFormat="1" ht="10.5">
      <c r="A68" s="44" t="s">
        <v>181</v>
      </c>
      <c r="B68" s="331">
        <v>132</v>
      </c>
      <c r="C68" s="45">
        <f>'Chapter 2'!D28</f>
        <v>144</v>
      </c>
      <c r="D68" s="45">
        <f>'Chapter 2'!E28</f>
        <v>144</v>
      </c>
    </row>
    <row r="69" spans="1:2" s="24" customFormat="1" ht="10.5">
      <c r="A69" s="44" t="s">
        <v>182</v>
      </c>
      <c r="B69" s="45">
        <f>4+4+2</f>
        <v>10</v>
      </c>
    </row>
    <row r="70" spans="1:4" ht="12.75">
      <c r="A70" s="3" t="s">
        <v>22</v>
      </c>
      <c r="B70" s="332">
        <f>SUM(B71:B73)</f>
        <v>120</v>
      </c>
      <c r="C70" s="23">
        <f>SUM(C71:C73)</f>
        <v>120</v>
      </c>
      <c r="D70" s="23">
        <f>SUM(D71:D73)</f>
        <v>120</v>
      </c>
    </row>
    <row r="71" spans="1:78" s="13" customFormat="1" ht="10.5">
      <c r="A71" s="10" t="s">
        <v>241</v>
      </c>
      <c r="B71" s="333">
        <f>52-4</f>
        <v>48</v>
      </c>
      <c r="C71" s="42">
        <v>48</v>
      </c>
      <c r="D71" s="42">
        <v>48</v>
      </c>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row>
    <row r="72" spans="1:78" s="13" customFormat="1" ht="10.5">
      <c r="A72" s="10" t="s">
        <v>242</v>
      </c>
      <c r="B72" s="42">
        <v>24</v>
      </c>
      <c r="C72" s="42">
        <v>24</v>
      </c>
      <c r="D72" s="42">
        <v>24</v>
      </c>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row>
    <row r="73" spans="1:78" s="13" customFormat="1" ht="10.5">
      <c r="A73" s="10" t="s">
        <v>243</v>
      </c>
      <c r="B73" s="42">
        <v>48</v>
      </c>
      <c r="C73" s="42">
        <v>48</v>
      </c>
      <c r="D73" s="42">
        <v>48</v>
      </c>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row>
    <row r="74" spans="1:4" ht="12.75">
      <c r="A74" s="2" t="s">
        <v>183</v>
      </c>
      <c r="B74" s="23">
        <f>B67-B70</f>
        <v>22</v>
      </c>
      <c r="C74" s="23">
        <f>C67-C70</f>
        <v>24</v>
      </c>
      <c r="D74" s="23">
        <f>D67-D70</f>
        <v>24</v>
      </c>
    </row>
    <row r="75" spans="1:4" ht="12.75">
      <c r="A75" s="3" t="s">
        <v>184</v>
      </c>
      <c r="B75" s="23">
        <v>6</v>
      </c>
      <c r="C75" s="23">
        <f>B75</f>
        <v>6</v>
      </c>
      <c r="D75" s="23">
        <f>B75</f>
        <v>6</v>
      </c>
    </row>
    <row r="76" spans="1:4" ht="12.75">
      <c r="A76" s="2" t="s">
        <v>201</v>
      </c>
      <c r="B76" s="23">
        <f>B74-B75</f>
        <v>16</v>
      </c>
      <c r="C76" s="23">
        <f>C74-C75</f>
        <v>18</v>
      </c>
      <c r="D76" s="23">
        <f>D74-D75</f>
        <v>18</v>
      </c>
    </row>
    <row r="77" spans="1:4" ht="12.75">
      <c r="A77" s="3" t="s">
        <v>237</v>
      </c>
      <c r="B77" s="23">
        <f>SUMIF('Chapter 2'!$C$12:$BY$12,B66,'Chapter 2'!$C$24:$BY$24)</f>
        <v>1.9</v>
      </c>
      <c r="C77" s="23">
        <f>SUMIF('Chapter 2'!$C$12:$BY$12,C66,'Chapter 2'!$C$24:$BY$24)</f>
        <v>1.5</v>
      </c>
      <c r="D77" s="23">
        <f>SUMIF('Chapter 2'!$C$12:$BY$12,D66,'Chapter 2'!$C$24:$BY$24)</f>
        <v>1.1</v>
      </c>
    </row>
    <row r="78" spans="1:4" ht="12.75">
      <c r="A78" s="1" t="s">
        <v>207</v>
      </c>
      <c r="B78" s="23">
        <f>B76-B77</f>
        <v>14.1</v>
      </c>
      <c r="C78" s="23">
        <f>C76-C77</f>
        <v>16.5</v>
      </c>
      <c r="D78" s="23">
        <f>D76-D77</f>
        <v>16.9</v>
      </c>
    </row>
    <row r="79" spans="1:4" ht="12.75">
      <c r="A79" s="3" t="s">
        <v>206</v>
      </c>
      <c r="B79" s="23">
        <v>0</v>
      </c>
      <c r="C79" s="23">
        <v>0</v>
      </c>
      <c r="D79" s="23">
        <v>0</v>
      </c>
    </row>
    <row r="80" spans="1:4" ht="12.75">
      <c r="A80" s="1" t="s">
        <v>205</v>
      </c>
      <c r="B80" s="23">
        <f>B78-B79</f>
        <v>14.1</v>
      </c>
      <c r="C80" s="23">
        <f>C78-C79</f>
        <v>16.5</v>
      </c>
      <c r="D80" s="23">
        <f>D78-D79</f>
        <v>16.9</v>
      </c>
    </row>
    <row r="81" ht="12.75">
      <c r="A81" s="3" t="s">
        <v>209</v>
      </c>
    </row>
    <row r="82" ht="12.75">
      <c r="A82" s="3" t="s">
        <v>211</v>
      </c>
    </row>
    <row r="84" ht="14.25">
      <c r="A84" s="41" t="s">
        <v>236</v>
      </c>
    </row>
    <row r="85" ht="12.75">
      <c r="A85" s="2" t="s">
        <v>28</v>
      </c>
    </row>
    <row r="86" spans="1:4" ht="12.75">
      <c r="A86" t="s">
        <v>238</v>
      </c>
      <c r="B86" s="23">
        <f>B68</f>
        <v>132</v>
      </c>
      <c r="C86" s="23">
        <f>C68</f>
        <v>144</v>
      </c>
      <c r="D86" s="23">
        <f>D68</f>
        <v>144</v>
      </c>
    </row>
    <row r="87" spans="1:4" ht="12.75">
      <c r="A87" s="30" t="s">
        <v>244</v>
      </c>
      <c r="B87" s="23">
        <f>B70+B75-B69</f>
        <v>116</v>
      </c>
      <c r="C87" s="23">
        <f>C70+C75-C69</f>
        <v>126</v>
      </c>
      <c r="D87" s="23">
        <f>D70+D75-D69</f>
        <v>126</v>
      </c>
    </row>
    <row r="88" spans="1:4" ht="12.75">
      <c r="A88" s="30" t="s">
        <v>240</v>
      </c>
      <c r="B88" s="23">
        <v>0</v>
      </c>
      <c r="C88" s="23">
        <v>0</v>
      </c>
      <c r="D88" s="23">
        <v>0</v>
      </c>
    </row>
    <row r="89" spans="1:4" ht="12.75">
      <c r="A89" s="30" t="s">
        <v>239</v>
      </c>
      <c r="B89" s="23">
        <v>0</v>
      </c>
      <c r="C89" s="23">
        <v>0</v>
      </c>
      <c r="D89" s="23">
        <v>0</v>
      </c>
    </row>
    <row r="90" spans="1:4" ht="12.75">
      <c r="A90" s="2" t="s">
        <v>201</v>
      </c>
      <c r="B90" s="23">
        <f>B86-B87-B88-B89</f>
        <v>16</v>
      </c>
      <c r="C90" s="23">
        <f>C86-C87-C88-C89</f>
        <v>18</v>
      </c>
      <c r="D90" s="23">
        <f>D86-D87-D88-D89</f>
        <v>18</v>
      </c>
    </row>
    <row r="91" spans="1:4" ht="12.75">
      <c r="A91" s="3" t="s">
        <v>237</v>
      </c>
      <c r="B91" s="23">
        <f>B77</f>
        <v>1.9</v>
      </c>
      <c r="C91" s="23">
        <f>C77</f>
        <v>1.5</v>
      </c>
      <c r="D91" s="23">
        <f>D77</f>
        <v>1.1</v>
      </c>
    </row>
    <row r="92" spans="1:4" ht="12.75">
      <c r="A92" s="1" t="s">
        <v>207</v>
      </c>
      <c r="B92" s="23">
        <f>B90-B91</f>
        <v>14.1</v>
      </c>
      <c r="C92" s="23">
        <f>C90-C91</f>
        <v>16.5</v>
      </c>
      <c r="D92" s="23">
        <f>D90-D91</f>
        <v>16.9</v>
      </c>
    </row>
    <row r="93" spans="1:4" ht="12.75">
      <c r="A93" s="3" t="s">
        <v>206</v>
      </c>
      <c r="B93" s="23">
        <v>0</v>
      </c>
      <c r="C93" s="23">
        <v>0</v>
      </c>
      <c r="D93" s="23">
        <v>0</v>
      </c>
    </row>
    <row r="94" spans="1:4" ht="12.75">
      <c r="A94" s="1" t="s">
        <v>205</v>
      </c>
      <c r="B94" s="23">
        <f>B92-B93</f>
        <v>14.1</v>
      </c>
      <c r="C94" s="23">
        <f>C92-C93</f>
        <v>16.5</v>
      </c>
      <c r="D94" s="23">
        <f>D92-D93</f>
        <v>16.9</v>
      </c>
    </row>
    <row r="95" ht="12.75">
      <c r="A95" s="3"/>
    </row>
    <row r="96" ht="12.75">
      <c r="A96" s="3"/>
    </row>
    <row r="97" ht="14.25">
      <c r="A97" s="41" t="s">
        <v>853</v>
      </c>
    </row>
    <row r="99" spans="1:2" ht="12.75">
      <c r="A99" t="s">
        <v>854</v>
      </c>
      <c r="B99" s="374">
        <v>900</v>
      </c>
    </row>
    <row r="100" spans="1:2" ht="12.75">
      <c r="A100" t="s">
        <v>855</v>
      </c>
      <c r="B100" s="374">
        <v>800</v>
      </c>
    </row>
    <row r="101" spans="1:2" ht="12.75">
      <c r="A101" t="s">
        <v>856</v>
      </c>
      <c r="B101" s="374">
        <v>100</v>
      </c>
    </row>
    <row r="102" spans="1:2" ht="12.75">
      <c r="A102" t="s">
        <v>857</v>
      </c>
      <c r="B102" s="374">
        <v>50</v>
      </c>
    </row>
    <row r="103" spans="1:2" ht="12.75">
      <c r="A103" t="s">
        <v>858</v>
      </c>
      <c r="B103" s="374">
        <v>20</v>
      </c>
    </row>
    <row r="104" spans="1:2" ht="12.75">
      <c r="A104" t="s">
        <v>859</v>
      </c>
      <c r="B104" s="374">
        <v>4500</v>
      </c>
    </row>
    <row r="105" spans="1:2" ht="12.75">
      <c r="A105" t="s">
        <v>340</v>
      </c>
      <c r="B105" s="374">
        <v>4000</v>
      </c>
    </row>
    <row r="106" spans="1:2" ht="12.75">
      <c r="A106" t="s">
        <v>860</v>
      </c>
      <c r="B106" s="374">
        <v>3000</v>
      </c>
    </row>
    <row r="107" spans="1:2" ht="12.75">
      <c r="A107" t="s">
        <v>861</v>
      </c>
      <c r="B107" s="374">
        <v>4000</v>
      </c>
    </row>
    <row r="108" spans="1:2" ht="12.75">
      <c r="A108" t="s">
        <v>862</v>
      </c>
      <c r="B108" s="374">
        <v>5000</v>
      </c>
    </row>
    <row r="109" spans="1:2" ht="12.75">
      <c r="A109" t="s">
        <v>863</v>
      </c>
      <c r="B109" s="374">
        <v>46000</v>
      </c>
    </row>
    <row r="111" ht="12.75">
      <c r="A111" t="s">
        <v>868</v>
      </c>
    </row>
    <row r="112" spans="1:2" ht="12.75">
      <c r="A112" s="13" t="s">
        <v>869</v>
      </c>
      <c r="B112" s="374">
        <v>2000</v>
      </c>
    </row>
    <row r="113" spans="1:2" ht="12.75">
      <c r="A113" s="13" t="s">
        <v>870</v>
      </c>
      <c r="B113" s="374">
        <v>700</v>
      </c>
    </row>
    <row r="114" spans="1:2" ht="12.75">
      <c r="A114" s="13" t="s">
        <v>871</v>
      </c>
      <c r="B114" s="374">
        <v>300</v>
      </c>
    </row>
    <row r="116" ht="12.75">
      <c r="A116" s="21" t="s">
        <v>180</v>
      </c>
    </row>
    <row r="117" spans="1:2" ht="12.75">
      <c r="A117" s="33" t="s">
        <v>1136</v>
      </c>
      <c r="B117" s="375">
        <f>B100*B101</f>
        <v>80000</v>
      </c>
    </row>
    <row r="118" spans="1:2" ht="12.75">
      <c r="A118" s="30" t="s">
        <v>842</v>
      </c>
      <c r="B118" s="374">
        <f>B101*(B102+B103)</f>
        <v>7000</v>
      </c>
    </row>
    <row r="119" spans="1:2" ht="12.75">
      <c r="A119" s="30" t="s">
        <v>843</v>
      </c>
      <c r="B119" s="374">
        <v>0</v>
      </c>
    </row>
    <row r="120" spans="1:2" ht="12.75">
      <c r="A120" s="376" t="s">
        <v>844</v>
      </c>
      <c r="B120" s="377">
        <f>SUM(B117:B119)</f>
        <v>87000</v>
      </c>
    </row>
    <row r="121" spans="1:2" ht="12.75">
      <c r="A121" s="30" t="s">
        <v>845</v>
      </c>
      <c r="B121" s="374">
        <f>-B109</f>
        <v>-46000</v>
      </c>
    </row>
    <row r="122" spans="1:2" ht="12.75">
      <c r="A122" s="30" t="s">
        <v>846</v>
      </c>
      <c r="B122" s="374">
        <f>-B107</f>
        <v>-4000</v>
      </c>
    </row>
    <row r="123" spans="1:2" ht="12.75">
      <c r="A123" s="30" t="s">
        <v>847</v>
      </c>
      <c r="B123" s="374">
        <f>+B108</f>
        <v>5000</v>
      </c>
    </row>
    <row r="124" spans="1:2" ht="12.75">
      <c r="A124" s="376" t="s">
        <v>848</v>
      </c>
      <c r="B124" s="377">
        <f>SUM(B120:B123)</f>
        <v>42000</v>
      </c>
    </row>
    <row r="125" spans="1:2" ht="12.75">
      <c r="A125" s="30" t="s">
        <v>849</v>
      </c>
      <c r="B125" s="374">
        <f>-(B99*B103+B104)</f>
        <v>-22500</v>
      </c>
    </row>
    <row r="126" spans="1:2" ht="12.75">
      <c r="A126" s="30" t="s">
        <v>850</v>
      </c>
      <c r="B126" s="374">
        <f>-B105</f>
        <v>-4000</v>
      </c>
    </row>
    <row r="127" spans="1:2" ht="12.75">
      <c r="A127" s="30" t="s">
        <v>851</v>
      </c>
      <c r="B127" s="374">
        <f>-B106</f>
        <v>-3000</v>
      </c>
    </row>
    <row r="128" spans="1:2" ht="12.75">
      <c r="A128" s="376" t="s">
        <v>852</v>
      </c>
      <c r="B128" s="377">
        <f>SUM(B124:B127)</f>
        <v>12500</v>
      </c>
    </row>
    <row r="129" ht="12.75">
      <c r="B129" s="374"/>
    </row>
    <row r="130" ht="12.75">
      <c r="B130" s="374"/>
    </row>
    <row r="131" ht="12.75">
      <c r="B131" s="374"/>
    </row>
    <row r="132" spans="1:2" ht="12.75">
      <c r="A132" s="21" t="s">
        <v>864</v>
      </c>
      <c r="B132" s="374"/>
    </row>
    <row r="133" spans="1:2" ht="12.75">
      <c r="A133" s="325" t="s">
        <v>865</v>
      </c>
      <c r="B133" s="374">
        <f>B100*B101</f>
        <v>80000</v>
      </c>
    </row>
    <row r="134" spans="1:2" ht="12.75">
      <c r="A134" t="s">
        <v>188</v>
      </c>
      <c r="B134" s="374">
        <f>B100*(B102+B103)+B112</f>
        <v>58000</v>
      </c>
    </row>
    <row r="135" spans="1:2" ht="12.75">
      <c r="A135" t="s">
        <v>866</v>
      </c>
      <c r="B135" s="374">
        <f>B104+B113</f>
        <v>5200</v>
      </c>
    </row>
    <row r="136" spans="1:2" ht="12.75">
      <c r="A136" t="s">
        <v>867</v>
      </c>
      <c r="B136" s="374">
        <f>B114+B105</f>
        <v>4300</v>
      </c>
    </row>
    <row r="137" spans="1:2" ht="12.75">
      <c r="A137" s="376" t="s">
        <v>852</v>
      </c>
      <c r="B137" s="377">
        <f>B133-B134-B135-B136</f>
        <v>12500</v>
      </c>
    </row>
    <row r="138" ht="12.75">
      <c r="B138" s="108"/>
    </row>
  </sheetData>
  <printOptions/>
  <pageMargins left="0.7874015748031497" right="0.7874015748031497" top="0.984251968503937" bottom="0.984251968503937" header="0.5118110236220472" footer="0.5118110236220472"/>
  <pageSetup fitToHeight="1" fitToWidth="1" horizontalDpi="200" verticalDpi="200" orientation="landscape" paperSize="9" scale="38" r:id="rId1"/>
  <headerFooter alignWithMargins="0">
    <oddFooter>&amp;L&amp;"Verdana,Italique"&amp;9&amp;F - &amp;A&amp;C&amp;P / &amp;N&amp;R&amp;"Verdana,Italique"&amp;9&amp;D - &amp;T</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V94"/>
  <sheetViews>
    <sheetView showGridLines="0" zoomScale="75" zoomScaleNormal="75" workbookViewId="0" topLeftCell="A1">
      <selection activeCell="A1" sqref="A1"/>
    </sheetView>
  </sheetViews>
  <sheetFormatPr defaultColWidth="11.00390625" defaultRowHeight="12.75"/>
  <cols>
    <col min="1" max="1" width="15.625" style="0" customWidth="1"/>
  </cols>
  <sheetData>
    <row r="1" ht="14.25">
      <c r="A1" s="41" t="s">
        <v>370</v>
      </c>
    </row>
    <row r="2" spans="1:2" ht="12.75">
      <c r="A2" s="179" t="s">
        <v>61</v>
      </c>
      <c r="B2">
        <v>30.2</v>
      </c>
    </row>
    <row r="3" spans="1:2" ht="12.75">
      <c r="A3" t="s">
        <v>63</v>
      </c>
      <c r="B3">
        <v>5</v>
      </c>
    </row>
    <row r="4" spans="1:2" ht="12.75">
      <c r="A4" t="s">
        <v>62</v>
      </c>
      <c r="B4">
        <v>6</v>
      </c>
    </row>
    <row r="6" spans="1:256" ht="12.75">
      <c r="A6" s="154" t="s">
        <v>64</v>
      </c>
      <c r="J6" s="235" t="s">
        <v>791</v>
      </c>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5"/>
      <c r="DO6" s="235"/>
      <c r="DP6" s="235"/>
      <c r="DQ6" s="235"/>
      <c r="DR6" s="235"/>
      <c r="DS6" s="235"/>
      <c r="DT6" s="235"/>
      <c r="DU6" s="235"/>
      <c r="DV6" s="235"/>
      <c r="DW6" s="235"/>
      <c r="DX6" s="235"/>
      <c r="DY6" s="235"/>
      <c r="DZ6" s="235"/>
      <c r="EA6" s="235"/>
      <c r="EB6" s="235"/>
      <c r="EC6" s="235"/>
      <c r="ED6" s="235"/>
      <c r="EE6" s="235"/>
      <c r="EF6" s="235"/>
      <c r="EG6" s="235"/>
      <c r="EH6" s="235"/>
      <c r="EI6" s="235"/>
      <c r="EJ6" s="235"/>
      <c r="EK6" s="235"/>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235"/>
      <c r="FK6" s="235"/>
      <c r="FL6" s="235"/>
      <c r="FM6" s="235"/>
      <c r="FN6" s="235"/>
      <c r="FO6" s="235"/>
      <c r="FP6" s="235"/>
      <c r="FQ6" s="235"/>
      <c r="FR6" s="235"/>
      <c r="FS6" s="235"/>
      <c r="FT6" s="235"/>
      <c r="FU6" s="235"/>
      <c r="FV6" s="235"/>
      <c r="FW6" s="235"/>
      <c r="FX6" s="235"/>
      <c r="FY6" s="235"/>
      <c r="FZ6" s="235"/>
      <c r="GA6" s="235"/>
      <c r="GB6" s="235"/>
      <c r="GC6" s="235"/>
      <c r="GD6" s="235"/>
      <c r="GE6" s="235"/>
      <c r="GF6" s="235"/>
      <c r="GG6" s="235"/>
      <c r="GH6" s="235"/>
      <c r="GI6" s="235"/>
      <c r="GJ6" s="235"/>
      <c r="GK6" s="235"/>
      <c r="GL6" s="235"/>
      <c r="GM6" s="235"/>
      <c r="GN6" s="235"/>
      <c r="GO6" s="235"/>
      <c r="GP6" s="235"/>
      <c r="GQ6" s="235"/>
      <c r="GR6" s="235"/>
      <c r="GS6" s="235"/>
      <c r="GT6" s="235"/>
      <c r="GU6" s="235"/>
      <c r="GV6" s="235"/>
      <c r="GW6" s="235"/>
      <c r="GX6" s="235"/>
      <c r="GY6" s="235"/>
      <c r="GZ6" s="235"/>
      <c r="HA6" s="235"/>
      <c r="HB6" s="235"/>
      <c r="HC6" s="235"/>
      <c r="HD6" s="235"/>
      <c r="HE6" s="235"/>
      <c r="HF6" s="235"/>
      <c r="HG6" s="235"/>
      <c r="HH6" s="235"/>
      <c r="HI6" s="235"/>
      <c r="HJ6" s="235"/>
      <c r="HK6" s="235"/>
      <c r="HL6" s="235"/>
      <c r="HM6" s="235"/>
      <c r="HN6" s="235"/>
      <c r="HO6" s="235"/>
      <c r="HP6" s="235"/>
      <c r="HQ6" s="235"/>
      <c r="HR6" s="235"/>
      <c r="HS6" s="235"/>
      <c r="HT6" s="235"/>
      <c r="HU6" s="235"/>
      <c r="HV6" s="235"/>
      <c r="HW6" s="235"/>
      <c r="HX6" s="235"/>
      <c r="HY6" s="235"/>
      <c r="HZ6" s="235"/>
      <c r="IA6" s="235"/>
      <c r="IB6" s="235"/>
      <c r="IC6" s="235"/>
      <c r="ID6" s="235"/>
      <c r="IE6" s="235"/>
      <c r="IF6" s="235"/>
      <c r="IG6" s="235"/>
      <c r="IH6" s="235"/>
      <c r="II6" s="235"/>
      <c r="IJ6" s="235"/>
      <c r="IK6" s="235"/>
      <c r="IL6" s="235"/>
      <c r="IM6" s="235"/>
      <c r="IN6" s="235"/>
      <c r="IO6" s="235"/>
      <c r="IP6" s="235"/>
      <c r="IQ6" s="235"/>
      <c r="IR6" s="235"/>
      <c r="IS6" s="235"/>
      <c r="IT6" s="235"/>
      <c r="IU6" s="235"/>
      <c r="IV6" s="235"/>
    </row>
    <row r="7" spans="1:256" s="235" customFormat="1" ht="12.75">
      <c r="A7" t="s">
        <v>979</v>
      </c>
      <c r="B7" s="235">
        <v>0</v>
      </c>
      <c r="C7" s="235">
        <v>1</v>
      </c>
      <c r="D7" s="235">
        <v>2</v>
      </c>
      <c r="E7" s="235">
        <v>3</v>
      </c>
      <c r="F7" s="235">
        <v>4</v>
      </c>
      <c r="G7" s="235">
        <v>5</v>
      </c>
      <c r="H7" s="235">
        <v>6</v>
      </c>
      <c r="I7" s="235">
        <f>H7+1</f>
        <v>7</v>
      </c>
      <c r="J7" s="235">
        <f aca="true" t="shared" si="0" ref="J7:BU7">I7+1</f>
        <v>8</v>
      </c>
      <c r="K7" s="235">
        <f t="shared" si="0"/>
        <v>9</v>
      </c>
      <c r="L7" s="235">
        <f t="shared" si="0"/>
        <v>10</v>
      </c>
      <c r="M7" s="235">
        <f t="shared" si="0"/>
        <v>11</v>
      </c>
      <c r="N7" s="235">
        <f t="shared" si="0"/>
        <v>12</v>
      </c>
      <c r="O7" s="235">
        <f t="shared" si="0"/>
        <v>13</v>
      </c>
      <c r="P7" s="235">
        <f t="shared" si="0"/>
        <v>14</v>
      </c>
      <c r="Q7" s="235">
        <f t="shared" si="0"/>
        <v>15</v>
      </c>
      <c r="R7" s="235">
        <f t="shared" si="0"/>
        <v>16</v>
      </c>
      <c r="S7" s="235">
        <f t="shared" si="0"/>
        <v>17</v>
      </c>
      <c r="T7" s="235">
        <f t="shared" si="0"/>
        <v>18</v>
      </c>
      <c r="U7" s="235">
        <f t="shared" si="0"/>
        <v>19</v>
      </c>
      <c r="V7" s="235">
        <f t="shared" si="0"/>
        <v>20</v>
      </c>
      <c r="W7" s="235">
        <f t="shared" si="0"/>
        <v>21</v>
      </c>
      <c r="X7" s="235">
        <f t="shared" si="0"/>
        <v>22</v>
      </c>
      <c r="Y7" s="235">
        <f t="shared" si="0"/>
        <v>23</v>
      </c>
      <c r="Z7" s="235">
        <f t="shared" si="0"/>
        <v>24</v>
      </c>
      <c r="AA7" s="235">
        <f t="shared" si="0"/>
        <v>25</v>
      </c>
      <c r="AB7" s="235">
        <f t="shared" si="0"/>
        <v>26</v>
      </c>
      <c r="AC7" s="235">
        <f t="shared" si="0"/>
        <v>27</v>
      </c>
      <c r="AD7" s="235">
        <f t="shared" si="0"/>
        <v>28</v>
      </c>
      <c r="AE7" s="235">
        <f t="shared" si="0"/>
        <v>29</v>
      </c>
      <c r="AF7" s="235">
        <f t="shared" si="0"/>
        <v>30</v>
      </c>
      <c r="AG7" s="235">
        <f t="shared" si="0"/>
        <v>31</v>
      </c>
      <c r="AH7" s="235">
        <f t="shared" si="0"/>
        <v>32</v>
      </c>
      <c r="AI7" s="235">
        <f t="shared" si="0"/>
        <v>33</v>
      </c>
      <c r="AJ7" s="235">
        <f t="shared" si="0"/>
        <v>34</v>
      </c>
      <c r="AK7" s="235">
        <f t="shared" si="0"/>
        <v>35</v>
      </c>
      <c r="AL7" s="235">
        <f t="shared" si="0"/>
        <v>36</v>
      </c>
      <c r="AM7" s="235">
        <f t="shared" si="0"/>
        <v>37</v>
      </c>
      <c r="AN7" s="235">
        <f t="shared" si="0"/>
        <v>38</v>
      </c>
      <c r="AO7" s="235">
        <f t="shared" si="0"/>
        <v>39</v>
      </c>
      <c r="AP7" s="235">
        <f t="shared" si="0"/>
        <v>40</v>
      </c>
      <c r="AQ7" s="235">
        <f t="shared" si="0"/>
        <v>41</v>
      </c>
      <c r="AR7" s="235">
        <f t="shared" si="0"/>
        <v>42</v>
      </c>
      <c r="AS7" s="235">
        <f t="shared" si="0"/>
        <v>43</v>
      </c>
      <c r="AT7" s="235">
        <f t="shared" si="0"/>
        <v>44</v>
      </c>
      <c r="AU7" s="235">
        <f t="shared" si="0"/>
        <v>45</v>
      </c>
      <c r="AV7" s="235">
        <f t="shared" si="0"/>
        <v>46</v>
      </c>
      <c r="AW7" s="235">
        <f t="shared" si="0"/>
        <v>47</v>
      </c>
      <c r="AX7" s="235">
        <f t="shared" si="0"/>
        <v>48</v>
      </c>
      <c r="AY7" s="235">
        <f t="shared" si="0"/>
        <v>49</v>
      </c>
      <c r="AZ7" s="235">
        <f t="shared" si="0"/>
        <v>50</v>
      </c>
      <c r="BA7" s="235">
        <f t="shared" si="0"/>
        <v>51</v>
      </c>
      <c r="BB7" s="235">
        <f t="shared" si="0"/>
        <v>52</v>
      </c>
      <c r="BC7" s="235">
        <f t="shared" si="0"/>
        <v>53</v>
      </c>
      <c r="BD7" s="235">
        <f t="shared" si="0"/>
        <v>54</v>
      </c>
      <c r="BE7" s="235">
        <f t="shared" si="0"/>
        <v>55</v>
      </c>
      <c r="BF7" s="235">
        <f t="shared" si="0"/>
        <v>56</v>
      </c>
      <c r="BG7" s="235">
        <f t="shared" si="0"/>
        <v>57</v>
      </c>
      <c r="BH7" s="235">
        <f t="shared" si="0"/>
        <v>58</v>
      </c>
      <c r="BI7" s="235">
        <f t="shared" si="0"/>
        <v>59</v>
      </c>
      <c r="BJ7" s="235">
        <f t="shared" si="0"/>
        <v>60</v>
      </c>
      <c r="BK7" s="235">
        <f t="shared" si="0"/>
        <v>61</v>
      </c>
      <c r="BL7" s="235">
        <f t="shared" si="0"/>
        <v>62</v>
      </c>
      <c r="BM7" s="235">
        <f t="shared" si="0"/>
        <v>63</v>
      </c>
      <c r="BN7" s="235">
        <f t="shared" si="0"/>
        <v>64</v>
      </c>
      <c r="BO7" s="235">
        <f t="shared" si="0"/>
        <v>65</v>
      </c>
      <c r="BP7" s="235">
        <f t="shared" si="0"/>
        <v>66</v>
      </c>
      <c r="BQ7" s="235">
        <f t="shared" si="0"/>
        <v>67</v>
      </c>
      <c r="BR7" s="235">
        <f t="shared" si="0"/>
        <v>68</v>
      </c>
      <c r="BS7" s="235">
        <f t="shared" si="0"/>
        <v>69</v>
      </c>
      <c r="BT7" s="235">
        <f t="shared" si="0"/>
        <v>70</v>
      </c>
      <c r="BU7" s="235">
        <f t="shared" si="0"/>
        <v>71</v>
      </c>
      <c r="BV7" s="235">
        <f aca="true" t="shared" si="1" ref="BV7:EG7">BU7+1</f>
        <v>72</v>
      </c>
      <c r="BW7" s="235">
        <f t="shared" si="1"/>
        <v>73</v>
      </c>
      <c r="BX7" s="235">
        <f t="shared" si="1"/>
        <v>74</v>
      </c>
      <c r="BY7" s="235">
        <f t="shared" si="1"/>
        <v>75</v>
      </c>
      <c r="BZ7" s="235">
        <f t="shared" si="1"/>
        <v>76</v>
      </c>
      <c r="CA7" s="235">
        <f t="shared" si="1"/>
        <v>77</v>
      </c>
      <c r="CB7" s="235">
        <f t="shared" si="1"/>
        <v>78</v>
      </c>
      <c r="CC7" s="235">
        <f t="shared" si="1"/>
        <v>79</v>
      </c>
      <c r="CD7" s="235">
        <f t="shared" si="1"/>
        <v>80</v>
      </c>
      <c r="CE7" s="235">
        <f t="shared" si="1"/>
        <v>81</v>
      </c>
      <c r="CF7" s="235">
        <f t="shared" si="1"/>
        <v>82</v>
      </c>
      <c r="CG7" s="235">
        <f t="shared" si="1"/>
        <v>83</v>
      </c>
      <c r="CH7" s="235">
        <f t="shared" si="1"/>
        <v>84</v>
      </c>
      <c r="CI7" s="235">
        <f t="shared" si="1"/>
        <v>85</v>
      </c>
      <c r="CJ7" s="235">
        <f t="shared" si="1"/>
        <v>86</v>
      </c>
      <c r="CK7" s="235">
        <f t="shared" si="1"/>
        <v>87</v>
      </c>
      <c r="CL7" s="235">
        <f t="shared" si="1"/>
        <v>88</v>
      </c>
      <c r="CM7" s="235">
        <f t="shared" si="1"/>
        <v>89</v>
      </c>
      <c r="CN7" s="235">
        <f t="shared" si="1"/>
        <v>90</v>
      </c>
      <c r="CO7" s="235">
        <f t="shared" si="1"/>
        <v>91</v>
      </c>
      <c r="CP7" s="235">
        <f t="shared" si="1"/>
        <v>92</v>
      </c>
      <c r="CQ7" s="235">
        <f t="shared" si="1"/>
        <v>93</v>
      </c>
      <c r="CR7" s="235">
        <f t="shared" si="1"/>
        <v>94</v>
      </c>
      <c r="CS7" s="235">
        <f t="shared" si="1"/>
        <v>95</v>
      </c>
      <c r="CT7" s="235">
        <f t="shared" si="1"/>
        <v>96</v>
      </c>
      <c r="CU7" s="235">
        <f t="shared" si="1"/>
        <v>97</v>
      </c>
      <c r="CV7" s="235">
        <f t="shared" si="1"/>
        <v>98</v>
      </c>
      <c r="CW7" s="235">
        <f t="shared" si="1"/>
        <v>99</v>
      </c>
      <c r="CX7" s="235">
        <f t="shared" si="1"/>
        <v>100</v>
      </c>
      <c r="CY7" s="235">
        <f t="shared" si="1"/>
        <v>101</v>
      </c>
      <c r="CZ7" s="235">
        <f t="shared" si="1"/>
        <v>102</v>
      </c>
      <c r="DA7" s="235">
        <f t="shared" si="1"/>
        <v>103</v>
      </c>
      <c r="DB7" s="235">
        <f t="shared" si="1"/>
        <v>104</v>
      </c>
      <c r="DC7" s="235">
        <f t="shared" si="1"/>
        <v>105</v>
      </c>
      <c r="DD7" s="235">
        <f t="shared" si="1"/>
        <v>106</v>
      </c>
      <c r="DE7" s="235">
        <f t="shared" si="1"/>
        <v>107</v>
      </c>
      <c r="DF7" s="235">
        <f t="shared" si="1"/>
        <v>108</v>
      </c>
      <c r="DG7" s="235">
        <f t="shared" si="1"/>
        <v>109</v>
      </c>
      <c r="DH7" s="235">
        <f t="shared" si="1"/>
        <v>110</v>
      </c>
      <c r="DI7" s="235">
        <f t="shared" si="1"/>
        <v>111</v>
      </c>
      <c r="DJ7" s="235">
        <f t="shared" si="1"/>
        <v>112</v>
      </c>
      <c r="DK7" s="235">
        <f t="shared" si="1"/>
        <v>113</v>
      </c>
      <c r="DL7" s="235">
        <f t="shared" si="1"/>
        <v>114</v>
      </c>
      <c r="DM7" s="235">
        <f t="shared" si="1"/>
        <v>115</v>
      </c>
      <c r="DN7" s="235">
        <f t="shared" si="1"/>
        <v>116</v>
      </c>
      <c r="DO7" s="235">
        <f t="shared" si="1"/>
        <v>117</v>
      </c>
      <c r="DP7" s="235">
        <f t="shared" si="1"/>
        <v>118</v>
      </c>
      <c r="DQ7" s="235">
        <f t="shared" si="1"/>
        <v>119</v>
      </c>
      <c r="DR7" s="235">
        <f t="shared" si="1"/>
        <v>120</v>
      </c>
      <c r="DS7" s="235">
        <f t="shared" si="1"/>
        <v>121</v>
      </c>
      <c r="DT7" s="235">
        <f t="shared" si="1"/>
        <v>122</v>
      </c>
      <c r="DU7" s="235">
        <f t="shared" si="1"/>
        <v>123</v>
      </c>
      <c r="DV7" s="235">
        <f t="shared" si="1"/>
        <v>124</v>
      </c>
      <c r="DW7" s="235">
        <f t="shared" si="1"/>
        <v>125</v>
      </c>
      <c r="DX7" s="235">
        <f t="shared" si="1"/>
        <v>126</v>
      </c>
      <c r="DY7" s="235">
        <f t="shared" si="1"/>
        <v>127</v>
      </c>
      <c r="DZ7" s="235">
        <f t="shared" si="1"/>
        <v>128</v>
      </c>
      <c r="EA7" s="235">
        <f t="shared" si="1"/>
        <v>129</v>
      </c>
      <c r="EB7" s="235">
        <f t="shared" si="1"/>
        <v>130</v>
      </c>
      <c r="EC7" s="235">
        <f t="shared" si="1"/>
        <v>131</v>
      </c>
      <c r="ED7" s="235">
        <f t="shared" si="1"/>
        <v>132</v>
      </c>
      <c r="EE7" s="235">
        <f t="shared" si="1"/>
        <v>133</v>
      </c>
      <c r="EF7" s="235">
        <f t="shared" si="1"/>
        <v>134</v>
      </c>
      <c r="EG7" s="235">
        <f t="shared" si="1"/>
        <v>135</v>
      </c>
      <c r="EH7" s="235">
        <f aca="true" t="shared" si="2" ref="EH7:GS7">EG7+1</f>
        <v>136</v>
      </c>
      <c r="EI7" s="235">
        <f t="shared" si="2"/>
        <v>137</v>
      </c>
      <c r="EJ7" s="235">
        <f t="shared" si="2"/>
        <v>138</v>
      </c>
      <c r="EK7" s="235">
        <f t="shared" si="2"/>
        <v>139</v>
      </c>
      <c r="EL7" s="235">
        <f t="shared" si="2"/>
        <v>140</v>
      </c>
      <c r="EM7" s="235">
        <f t="shared" si="2"/>
        <v>141</v>
      </c>
      <c r="EN7" s="235">
        <f t="shared" si="2"/>
        <v>142</v>
      </c>
      <c r="EO7" s="235">
        <f t="shared" si="2"/>
        <v>143</v>
      </c>
      <c r="EP7" s="235">
        <f t="shared" si="2"/>
        <v>144</v>
      </c>
      <c r="EQ7" s="235">
        <f t="shared" si="2"/>
        <v>145</v>
      </c>
      <c r="ER7" s="235">
        <f t="shared" si="2"/>
        <v>146</v>
      </c>
      <c r="ES7" s="235">
        <f t="shared" si="2"/>
        <v>147</v>
      </c>
      <c r="ET7" s="235">
        <f t="shared" si="2"/>
        <v>148</v>
      </c>
      <c r="EU7" s="235">
        <f t="shared" si="2"/>
        <v>149</v>
      </c>
      <c r="EV7" s="235">
        <f t="shared" si="2"/>
        <v>150</v>
      </c>
      <c r="EW7" s="235">
        <f t="shared" si="2"/>
        <v>151</v>
      </c>
      <c r="EX7" s="235">
        <f t="shared" si="2"/>
        <v>152</v>
      </c>
      <c r="EY7" s="235">
        <f t="shared" si="2"/>
        <v>153</v>
      </c>
      <c r="EZ7" s="235">
        <f t="shared" si="2"/>
        <v>154</v>
      </c>
      <c r="FA7" s="235">
        <f t="shared" si="2"/>
        <v>155</v>
      </c>
      <c r="FB7" s="235">
        <f t="shared" si="2"/>
        <v>156</v>
      </c>
      <c r="FC7" s="235">
        <f t="shared" si="2"/>
        <v>157</v>
      </c>
      <c r="FD7" s="235">
        <f t="shared" si="2"/>
        <v>158</v>
      </c>
      <c r="FE7" s="235">
        <f t="shared" si="2"/>
        <v>159</v>
      </c>
      <c r="FF7" s="235">
        <f t="shared" si="2"/>
        <v>160</v>
      </c>
      <c r="FG7" s="235">
        <f t="shared" si="2"/>
        <v>161</v>
      </c>
      <c r="FH7" s="235">
        <f t="shared" si="2"/>
        <v>162</v>
      </c>
      <c r="FI7" s="235">
        <f t="shared" si="2"/>
        <v>163</v>
      </c>
      <c r="FJ7" s="235">
        <f t="shared" si="2"/>
        <v>164</v>
      </c>
      <c r="FK7" s="235">
        <f t="shared" si="2"/>
        <v>165</v>
      </c>
      <c r="FL7" s="235">
        <f t="shared" si="2"/>
        <v>166</v>
      </c>
      <c r="FM7" s="235">
        <f t="shared" si="2"/>
        <v>167</v>
      </c>
      <c r="FN7" s="235">
        <f t="shared" si="2"/>
        <v>168</v>
      </c>
      <c r="FO7" s="235">
        <f t="shared" si="2"/>
        <v>169</v>
      </c>
      <c r="FP7" s="235">
        <f t="shared" si="2"/>
        <v>170</v>
      </c>
      <c r="FQ7" s="235">
        <f t="shared" si="2"/>
        <v>171</v>
      </c>
      <c r="FR7" s="235">
        <f t="shared" si="2"/>
        <v>172</v>
      </c>
      <c r="FS7" s="235">
        <f t="shared" si="2"/>
        <v>173</v>
      </c>
      <c r="FT7" s="235">
        <f t="shared" si="2"/>
        <v>174</v>
      </c>
      <c r="FU7" s="235">
        <f t="shared" si="2"/>
        <v>175</v>
      </c>
      <c r="FV7" s="235">
        <f t="shared" si="2"/>
        <v>176</v>
      </c>
      <c r="FW7" s="235">
        <f t="shared" si="2"/>
        <v>177</v>
      </c>
      <c r="FX7" s="235">
        <f t="shared" si="2"/>
        <v>178</v>
      </c>
      <c r="FY7" s="235">
        <f t="shared" si="2"/>
        <v>179</v>
      </c>
      <c r="FZ7" s="235">
        <f t="shared" si="2"/>
        <v>180</v>
      </c>
      <c r="GA7" s="235">
        <f t="shared" si="2"/>
        <v>181</v>
      </c>
      <c r="GB7" s="235">
        <f t="shared" si="2"/>
        <v>182</v>
      </c>
      <c r="GC7" s="235">
        <f t="shared" si="2"/>
        <v>183</v>
      </c>
      <c r="GD7" s="235">
        <f t="shared" si="2"/>
        <v>184</v>
      </c>
      <c r="GE7" s="235">
        <f t="shared" si="2"/>
        <v>185</v>
      </c>
      <c r="GF7" s="235">
        <f t="shared" si="2"/>
        <v>186</v>
      </c>
      <c r="GG7" s="235">
        <f t="shared" si="2"/>
        <v>187</v>
      </c>
      <c r="GH7" s="235">
        <f t="shared" si="2"/>
        <v>188</v>
      </c>
      <c r="GI7" s="235">
        <f t="shared" si="2"/>
        <v>189</v>
      </c>
      <c r="GJ7" s="235">
        <f t="shared" si="2"/>
        <v>190</v>
      </c>
      <c r="GK7" s="235">
        <f t="shared" si="2"/>
        <v>191</v>
      </c>
      <c r="GL7" s="235">
        <f t="shared" si="2"/>
        <v>192</v>
      </c>
      <c r="GM7" s="235">
        <f t="shared" si="2"/>
        <v>193</v>
      </c>
      <c r="GN7" s="235">
        <f t="shared" si="2"/>
        <v>194</v>
      </c>
      <c r="GO7" s="235">
        <f t="shared" si="2"/>
        <v>195</v>
      </c>
      <c r="GP7" s="235">
        <f t="shared" si="2"/>
        <v>196</v>
      </c>
      <c r="GQ7" s="235">
        <f t="shared" si="2"/>
        <v>197</v>
      </c>
      <c r="GR7" s="235">
        <f t="shared" si="2"/>
        <v>198</v>
      </c>
      <c r="GS7" s="235">
        <f t="shared" si="2"/>
        <v>199</v>
      </c>
      <c r="GT7" s="235">
        <f aca="true" t="shared" si="3" ref="GT7:IV7">GS7+1</f>
        <v>200</v>
      </c>
      <c r="GU7" s="235">
        <f t="shared" si="3"/>
        <v>201</v>
      </c>
      <c r="GV7" s="235">
        <f t="shared" si="3"/>
        <v>202</v>
      </c>
      <c r="GW7" s="235">
        <f t="shared" si="3"/>
        <v>203</v>
      </c>
      <c r="GX7" s="235">
        <f t="shared" si="3"/>
        <v>204</v>
      </c>
      <c r="GY7" s="235">
        <f t="shared" si="3"/>
        <v>205</v>
      </c>
      <c r="GZ7" s="235">
        <f t="shared" si="3"/>
        <v>206</v>
      </c>
      <c r="HA7" s="235">
        <f t="shared" si="3"/>
        <v>207</v>
      </c>
      <c r="HB7" s="235">
        <f t="shared" si="3"/>
        <v>208</v>
      </c>
      <c r="HC7" s="235">
        <f t="shared" si="3"/>
        <v>209</v>
      </c>
      <c r="HD7" s="235">
        <f t="shared" si="3"/>
        <v>210</v>
      </c>
      <c r="HE7" s="235">
        <f t="shared" si="3"/>
        <v>211</v>
      </c>
      <c r="HF7" s="235">
        <f t="shared" si="3"/>
        <v>212</v>
      </c>
      <c r="HG7" s="235">
        <f t="shared" si="3"/>
        <v>213</v>
      </c>
      <c r="HH7" s="235">
        <f t="shared" si="3"/>
        <v>214</v>
      </c>
      <c r="HI7" s="235">
        <f t="shared" si="3"/>
        <v>215</v>
      </c>
      <c r="HJ7" s="235">
        <f t="shared" si="3"/>
        <v>216</v>
      </c>
      <c r="HK7" s="235">
        <f t="shared" si="3"/>
        <v>217</v>
      </c>
      <c r="HL7" s="235">
        <f t="shared" si="3"/>
        <v>218</v>
      </c>
      <c r="HM7" s="235">
        <f t="shared" si="3"/>
        <v>219</v>
      </c>
      <c r="HN7" s="235">
        <f t="shared" si="3"/>
        <v>220</v>
      </c>
      <c r="HO7" s="235">
        <f t="shared" si="3"/>
        <v>221</v>
      </c>
      <c r="HP7" s="235">
        <f t="shared" si="3"/>
        <v>222</v>
      </c>
      <c r="HQ7" s="235">
        <f t="shared" si="3"/>
        <v>223</v>
      </c>
      <c r="HR7" s="235">
        <f t="shared" si="3"/>
        <v>224</v>
      </c>
      <c r="HS7" s="235">
        <f t="shared" si="3"/>
        <v>225</v>
      </c>
      <c r="HT7" s="235">
        <f t="shared" si="3"/>
        <v>226</v>
      </c>
      <c r="HU7" s="235">
        <f t="shared" si="3"/>
        <v>227</v>
      </c>
      <c r="HV7" s="235">
        <f t="shared" si="3"/>
        <v>228</v>
      </c>
      <c r="HW7" s="235">
        <f t="shared" si="3"/>
        <v>229</v>
      </c>
      <c r="HX7" s="235">
        <f t="shared" si="3"/>
        <v>230</v>
      </c>
      <c r="HY7" s="235">
        <f t="shared" si="3"/>
        <v>231</v>
      </c>
      <c r="HZ7" s="235">
        <f t="shared" si="3"/>
        <v>232</v>
      </c>
      <c r="IA7" s="235">
        <f t="shared" si="3"/>
        <v>233</v>
      </c>
      <c r="IB7" s="235">
        <f t="shared" si="3"/>
        <v>234</v>
      </c>
      <c r="IC7" s="235">
        <f t="shared" si="3"/>
        <v>235</v>
      </c>
      <c r="ID7" s="235">
        <f t="shared" si="3"/>
        <v>236</v>
      </c>
      <c r="IE7" s="235">
        <f t="shared" si="3"/>
        <v>237</v>
      </c>
      <c r="IF7" s="235">
        <f t="shared" si="3"/>
        <v>238</v>
      </c>
      <c r="IG7" s="235">
        <f t="shared" si="3"/>
        <v>239</v>
      </c>
      <c r="IH7" s="235">
        <f t="shared" si="3"/>
        <v>240</v>
      </c>
      <c r="II7" s="235">
        <f t="shared" si="3"/>
        <v>241</v>
      </c>
      <c r="IJ7" s="235">
        <f t="shared" si="3"/>
        <v>242</v>
      </c>
      <c r="IK7" s="235">
        <f t="shared" si="3"/>
        <v>243</v>
      </c>
      <c r="IL7" s="235">
        <f t="shared" si="3"/>
        <v>244</v>
      </c>
      <c r="IM7" s="235">
        <f t="shared" si="3"/>
        <v>245</v>
      </c>
      <c r="IN7" s="235">
        <f t="shared" si="3"/>
        <v>246</v>
      </c>
      <c r="IO7" s="235">
        <f t="shared" si="3"/>
        <v>247</v>
      </c>
      <c r="IP7" s="235">
        <f t="shared" si="3"/>
        <v>248</v>
      </c>
      <c r="IQ7" s="235">
        <f t="shared" si="3"/>
        <v>249</v>
      </c>
      <c r="IR7" s="235">
        <f t="shared" si="3"/>
        <v>250</v>
      </c>
      <c r="IS7" s="235">
        <f t="shared" si="3"/>
        <v>251</v>
      </c>
      <c r="IT7" s="235">
        <f t="shared" si="3"/>
        <v>252</v>
      </c>
      <c r="IU7" s="235">
        <f t="shared" si="3"/>
        <v>253</v>
      </c>
      <c r="IV7" s="235">
        <f t="shared" si="3"/>
        <v>254</v>
      </c>
    </row>
    <row r="8" spans="1:256" s="235" customFormat="1" ht="12.75">
      <c r="A8" t="s">
        <v>1265</v>
      </c>
      <c r="B8" s="235">
        <v>-30.2</v>
      </c>
      <c r="C8" s="235">
        <v>5</v>
      </c>
      <c r="D8" s="235">
        <v>5</v>
      </c>
      <c r="E8" s="235">
        <v>5</v>
      </c>
      <c r="F8" s="235">
        <v>5</v>
      </c>
      <c r="G8" s="235">
        <v>5</v>
      </c>
      <c r="H8" s="235">
        <v>6</v>
      </c>
      <c r="I8" s="235">
        <v>6</v>
      </c>
      <c r="J8" s="235">
        <v>6</v>
      </c>
      <c r="K8" s="235">
        <v>6</v>
      </c>
      <c r="L8" s="235">
        <v>6</v>
      </c>
      <c r="M8" s="235">
        <v>6</v>
      </c>
      <c r="N8" s="235">
        <v>6</v>
      </c>
      <c r="O8" s="235">
        <v>6</v>
      </c>
      <c r="P8" s="235">
        <v>6</v>
      </c>
      <c r="Q8" s="235">
        <v>6</v>
      </c>
      <c r="R8" s="235">
        <v>6</v>
      </c>
      <c r="S8" s="235">
        <v>6</v>
      </c>
      <c r="T8" s="235">
        <v>6</v>
      </c>
      <c r="U8" s="235">
        <v>6</v>
      </c>
      <c r="V8" s="235">
        <v>6</v>
      </c>
      <c r="W8" s="235">
        <v>6</v>
      </c>
      <c r="X8" s="235">
        <v>6</v>
      </c>
      <c r="Y8" s="235">
        <v>6</v>
      </c>
      <c r="Z8" s="235">
        <v>6</v>
      </c>
      <c r="AA8" s="235">
        <v>6</v>
      </c>
      <c r="AB8" s="235">
        <v>6</v>
      </c>
      <c r="AC8" s="235">
        <v>6</v>
      </c>
      <c r="AD8" s="235">
        <v>6</v>
      </c>
      <c r="AE8" s="235">
        <v>6</v>
      </c>
      <c r="AF8" s="235">
        <v>6</v>
      </c>
      <c r="AG8" s="235">
        <v>6</v>
      </c>
      <c r="AH8" s="235">
        <v>6</v>
      </c>
      <c r="AI8" s="235">
        <v>6</v>
      </c>
      <c r="AJ8" s="235">
        <v>6</v>
      </c>
      <c r="AK8" s="235">
        <v>6</v>
      </c>
      <c r="AL8" s="235">
        <v>6</v>
      </c>
      <c r="AM8" s="235">
        <v>6</v>
      </c>
      <c r="AN8" s="235">
        <v>6</v>
      </c>
      <c r="AO8" s="235">
        <v>6</v>
      </c>
      <c r="AP8" s="235">
        <v>6</v>
      </c>
      <c r="AQ8" s="235">
        <v>6</v>
      </c>
      <c r="AR8" s="235">
        <v>6</v>
      </c>
      <c r="AS8" s="235">
        <v>6</v>
      </c>
      <c r="AT8" s="235">
        <v>6</v>
      </c>
      <c r="AU8" s="235">
        <v>6</v>
      </c>
      <c r="AV8" s="235">
        <v>6</v>
      </c>
      <c r="AW8" s="235">
        <v>6</v>
      </c>
      <c r="AX8" s="235">
        <v>6</v>
      </c>
      <c r="AY8" s="235">
        <v>6</v>
      </c>
      <c r="AZ8" s="235">
        <v>6</v>
      </c>
      <c r="BA8" s="235">
        <v>6</v>
      </c>
      <c r="BB8" s="235">
        <v>6</v>
      </c>
      <c r="BC8" s="235">
        <v>6</v>
      </c>
      <c r="BD8" s="235">
        <v>6</v>
      </c>
      <c r="BE8" s="235">
        <v>6</v>
      </c>
      <c r="BF8" s="235">
        <v>6</v>
      </c>
      <c r="BG8" s="235">
        <v>6</v>
      </c>
      <c r="BH8" s="235">
        <v>6</v>
      </c>
      <c r="BI8" s="235">
        <v>6</v>
      </c>
      <c r="BJ8" s="235">
        <v>6</v>
      </c>
      <c r="BK8" s="235">
        <v>6</v>
      </c>
      <c r="BL8" s="235">
        <v>6</v>
      </c>
      <c r="BM8" s="235">
        <v>6</v>
      </c>
      <c r="BN8" s="235">
        <v>6</v>
      </c>
      <c r="BO8" s="235">
        <v>6</v>
      </c>
      <c r="BP8" s="235">
        <v>6</v>
      </c>
      <c r="BQ8" s="235">
        <v>6</v>
      </c>
      <c r="BR8" s="235">
        <v>6</v>
      </c>
      <c r="BS8" s="235">
        <v>6</v>
      </c>
      <c r="BT8" s="235">
        <v>6</v>
      </c>
      <c r="BU8" s="235">
        <v>6</v>
      </c>
      <c r="BV8" s="235">
        <v>6</v>
      </c>
      <c r="BW8" s="235">
        <v>6</v>
      </c>
      <c r="BX8" s="235">
        <v>6</v>
      </c>
      <c r="BY8" s="235">
        <v>6</v>
      </c>
      <c r="BZ8" s="235">
        <v>6</v>
      </c>
      <c r="CA8" s="235">
        <v>6</v>
      </c>
      <c r="CB8" s="235">
        <v>6</v>
      </c>
      <c r="CC8" s="235">
        <v>6</v>
      </c>
      <c r="CD8" s="235">
        <v>6</v>
      </c>
      <c r="CE8" s="235">
        <v>6</v>
      </c>
      <c r="CF8" s="235">
        <v>6</v>
      </c>
      <c r="CG8" s="235">
        <v>6</v>
      </c>
      <c r="CH8" s="235">
        <v>6</v>
      </c>
      <c r="CI8" s="235">
        <v>6</v>
      </c>
      <c r="CJ8" s="235">
        <v>6</v>
      </c>
      <c r="CK8" s="235">
        <v>6</v>
      </c>
      <c r="CL8" s="235">
        <v>6</v>
      </c>
      <c r="CM8" s="235">
        <v>6</v>
      </c>
      <c r="CN8" s="235">
        <v>6</v>
      </c>
      <c r="CO8" s="235">
        <v>6</v>
      </c>
      <c r="CP8" s="235">
        <v>6</v>
      </c>
      <c r="CQ8" s="235">
        <v>6</v>
      </c>
      <c r="CR8" s="235">
        <v>6</v>
      </c>
      <c r="CS8" s="235">
        <v>6</v>
      </c>
      <c r="CT8" s="235">
        <v>6</v>
      </c>
      <c r="CU8" s="235">
        <v>6</v>
      </c>
      <c r="CV8" s="235">
        <v>6</v>
      </c>
      <c r="CW8" s="235">
        <v>6</v>
      </c>
      <c r="CX8" s="235">
        <v>6</v>
      </c>
      <c r="CY8" s="235">
        <v>6</v>
      </c>
      <c r="CZ8" s="235">
        <v>6</v>
      </c>
      <c r="DA8" s="235">
        <v>6</v>
      </c>
      <c r="DB8" s="235">
        <v>6</v>
      </c>
      <c r="DC8" s="235">
        <v>6</v>
      </c>
      <c r="DD8" s="235">
        <v>6</v>
      </c>
      <c r="DE8" s="235">
        <v>6</v>
      </c>
      <c r="DF8" s="235">
        <v>6</v>
      </c>
      <c r="DG8" s="235">
        <v>6</v>
      </c>
      <c r="DH8" s="235">
        <v>6</v>
      </c>
      <c r="DI8" s="235">
        <v>6</v>
      </c>
      <c r="DJ8" s="235">
        <v>6</v>
      </c>
      <c r="DK8" s="235">
        <v>6</v>
      </c>
      <c r="DL8" s="235">
        <v>6</v>
      </c>
      <c r="DM8" s="235">
        <v>6</v>
      </c>
      <c r="DN8" s="235">
        <v>6</v>
      </c>
      <c r="DO8" s="235">
        <v>6</v>
      </c>
      <c r="DP8" s="235">
        <v>6</v>
      </c>
      <c r="DQ8" s="235">
        <v>6</v>
      </c>
      <c r="DR8" s="235">
        <v>6</v>
      </c>
      <c r="DS8" s="235">
        <v>6</v>
      </c>
      <c r="DT8" s="235">
        <v>6</v>
      </c>
      <c r="DU8" s="235">
        <v>6</v>
      </c>
      <c r="DV8" s="235">
        <v>6</v>
      </c>
      <c r="DW8" s="235">
        <v>6</v>
      </c>
      <c r="DX8" s="235">
        <v>6</v>
      </c>
      <c r="DY8" s="235">
        <v>6</v>
      </c>
      <c r="DZ8" s="235">
        <v>6</v>
      </c>
      <c r="EA8" s="235">
        <v>6</v>
      </c>
      <c r="EB8" s="235">
        <v>6</v>
      </c>
      <c r="EC8" s="235">
        <v>6</v>
      </c>
      <c r="ED8" s="235">
        <v>6</v>
      </c>
      <c r="EE8" s="235">
        <v>6</v>
      </c>
      <c r="EF8" s="235">
        <v>6</v>
      </c>
      <c r="EG8" s="235">
        <v>6</v>
      </c>
      <c r="EH8" s="235">
        <v>6</v>
      </c>
      <c r="EI8" s="235">
        <v>6</v>
      </c>
      <c r="EJ8" s="235">
        <v>6</v>
      </c>
      <c r="EK8" s="235">
        <v>6</v>
      </c>
      <c r="EL8" s="235">
        <v>6</v>
      </c>
      <c r="EM8" s="235">
        <v>6</v>
      </c>
      <c r="EN8" s="235">
        <v>6</v>
      </c>
      <c r="EO8" s="235">
        <v>6</v>
      </c>
      <c r="EP8" s="235">
        <v>6</v>
      </c>
      <c r="EQ8" s="235">
        <v>6</v>
      </c>
      <c r="ER8" s="235">
        <v>6</v>
      </c>
      <c r="ES8" s="235">
        <v>6</v>
      </c>
      <c r="ET8" s="235">
        <v>6</v>
      </c>
      <c r="EU8" s="235">
        <v>6</v>
      </c>
      <c r="EV8" s="235">
        <v>6</v>
      </c>
      <c r="EW8" s="235">
        <v>6</v>
      </c>
      <c r="EX8" s="235">
        <v>6</v>
      </c>
      <c r="EY8" s="235">
        <v>6</v>
      </c>
      <c r="EZ8" s="235">
        <v>6</v>
      </c>
      <c r="FA8" s="235">
        <v>6</v>
      </c>
      <c r="FB8" s="235">
        <v>6</v>
      </c>
      <c r="FC8" s="235">
        <v>6</v>
      </c>
      <c r="FD8" s="235">
        <v>6</v>
      </c>
      <c r="FE8" s="235">
        <v>6</v>
      </c>
      <c r="FF8" s="235">
        <v>6</v>
      </c>
      <c r="FG8" s="235">
        <v>6</v>
      </c>
      <c r="FH8" s="235">
        <v>6</v>
      </c>
      <c r="FI8" s="235">
        <v>6</v>
      </c>
      <c r="FJ8" s="235">
        <v>6</v>
      </c>
      <c r="FK8" s="235">
        <v>6</v>
      </c>
      <c r="FL8" s="235">
        <v>6</v>
      </c>
      <c r="FM8" s="235">
        <v>6</v>
      </c>
      <c r="FN8" s="235">
        <v>6</v>
      </c>
      <c r="FO8" s="235">
        <v>6</v>
      </c>
      <c r="FP8" s="235">
        <v>6</v>
      </c>
      <c r="FQ8" s="235">
        <v>6</v>
      </c>
      <c r="FR8" s="235">
        <v>6</v>
      </c>
      <c r="FS8" s="235">
        <v>6</v>
      </c>
      <c r="FT8" s="235">
        <v>6</v>
      </c>
      <c r="FU8" s="235">
        <v>6</v>
      </c>
      <c r="FV8" s="235">
        <v>6</v>
      </c>
      <c r="FW8" s="235">
        <v>6</v>
      </c>
      <c r="FX8" s="235">
        <v>6</v>
      </c>
      <c r="FY8" s="235">
        <v>6</v>
      </c>
      <c r="FZ8" s="235">
        <v>6</v>
      </c>
      <c r="GA8" s="235">
        <v>6</v>
      </c>
      <c r="GB8" s="235">
        <v>6</v>
      </c>
      <c r="GC8" s="235">
        <v>6</v>
      </c>
      <c r="GD8" s="235">
        <v>6</v>
      </c>
      <c r="GE8" s="235">
        <v>6</v>
      </c>
      <c r="GF8" s="235">
        <v>6</v>
      </c>
      <c r="GG8" s="235">
        <v>6</v>
      </c>
      <c r="GH8" s="235">
        <v>6</v>
      </c>
      <c r="GI8" s="235">
        <v>6</v>
      </c>
      <c r="GJ8" s="235">
        <v>6</v>
      </c>
      <c r="GK8" s="235">
        <v>6</v>
      </c>
      <c r="GL8" s="235">
        <v>6</v>
      </c>
      <c r="GM8" s="235">
        <v>6</v>
      </c>
      <c r="GN8" s="235">
        <v>6</v>
      </c>
      <c r="GO8" s="235">
        <v>6</v>
      </c>
      <c r="GP8" s="235">
        <v>6</v>
      </c>
      <c r="GQ8" s="235">
        <v>6</v>
      </c>
      <c r="GR8" s="235">
        <v>6</v>
      </c>
      <c r="GS8" s="235">
        <v>6</v>
      </c>
      <c r="GT8" s="235">
        <v>6</v>
      </c>
      <c r="GU8" s="235">
        <v>6</v>
      </c>
      <c r="GV8" s="235">
        <v>6</v>
      </c>
      <c r="GW8" s="235">
        <v>6</v>
      </c>
      <c r="GX8" s="235">
        <v>6</v>
      </c>
      <c r="GY8" s="235">
        <v>6</v>
      </c>
      <c r="GZ8" s="235">
        <v>6</v>
      </c>
      <c r="HA8" s="235">
        <v>6</v>
      </c>
      <c r="HB8" s="235">
        <v>6</v>
      </c>
      <c r="HC8" s="235">
        <v>6</v>
      </c>
      <c r="HD8" s="235">
        <v>6</v>
      </c>
      <c r="HE8" s="235">
        <v>6</v>
      </c>
      <c r="HF8" s="235">
        <v>6</v>
      </c>
      <c r="HG8" s="235">
        <v>6</v>
      </c>
      <c r="HH8" s="235">
        <v>6</v>
      </c>
      <c r="HI8" s="235">
        <v>6</v>
      </c>
      <c r="HJ8" s="235">
        <v>6</v>
      </c>
      <c r="HK8" s="235">
        <v>6</v>
      </c>
      <c r="HL8" s="235">
        <v>6</v>
      </c>
      <c r="HM8" s="235">
        <v>6</v>
      </c>
      <c r="HN8" s="235">
        <v>6</v>
      </c>
      <c r="HO8" s="235">
        <v>6</v>
      </c>
      <c r="HP8" s="235">
        <v>6</v>
      </c>
      <c r="HQ8" s="235">
        <v>6</v>
      </c>
      <c r="HR8" s="235">
        <v>6</v>
      </c>
      <c r="HS8" s="235">
        <v>6</v>
      </c>
      <c r="HT8" s="235">
        <v>6</v>
      </c>
      <c r="HU8" s="235">
        <v>6</v>
      </c>
      <c r="HV8" s="235">
        <v>6</v>
      </c>
      <c r="HW8" s="235">
        <v>6</v>
      </c>
      <c r="HX8" s="235">
        <v>6</v>
      </c>
      <c r="HY8" s="235">
        <v>6</v>
      </c>
      <c r="HZ8" s="235">
        <v>6</v>
      </c>
      <c r="IA8" s="235">
        <v>6</v>
      </c>
      <c r="IB8" s="235">
        <v>6</v>
      </c>
      <c r="IC8" s="235">
        <v>6</v>
      </c>
      <c r="ID8" s="235">
        <v>6</v>
      </c>
      <c r="IE8" s="235">
        <v>6</v>
      </c>
      <c r="IF8" s="235">
        <v>6</v>
      </c>
      <c r="IG8" s="235">
        <v>6</v>
      </c>
      <c r="IH8" s="235">
        <v>6</v>
      </c>
      <c r="II8" s="235">
        <v>6</v>
      </c>
      <c r="IJ8" s="235">
        <v>6</v>
      </c>
      <c r="IK8" s="235">
        <v>6</v>
      </c>
      <c r="IL8" s="235">
        <v>6</v>
      </c>
      <c r="IM8" s="235">
        <v>6</v>
      </c>
      <c r="IN8" s="235">
        <v>6</v>
      </c>
      <c r="IO8" s="235">
        <v>6</v>
      </c>
      <c r="IP8" s="235">
        <v>6</v>
      </c>
      <c r="IQ8" s="235">
        <v>6</v>
      </c>
      <c r="IR8" s="235">
        <v>6</v>
      </c>
      <c r="IS8" s="235">
        <v>6</v>
      </c>
      <c r="IT8" s="235">
        <v>6</v>
      </c>
      <c r="IU8" s="235">
        <v>6</v>
      </c>
      <c r="IV8" s="235">
        <v>6</v>
      </c>
    </row>
    <row r="9" spans="1:8" ht="12.75">
      <c r="A9" t="s">
        <v>791</v>
      </c>
      <c r="B9" s="23" t="s">
        <v>791</v>
      </c>
      <c r="C9" s="23" t="s">
        <v>791</v>
      </c>
      <c r="D9" s="23" t="s">
        <v>791</v>
      </c>
      <c r="E9" s="23" t="s">
        <v>791</v>
      </c>
      <c r="F9" s="23" t="s">
        <v>791</v>
      </c>
      <c r="G9" s="23" t="s">
        <v>791</v>
      </c>
      <c r="H9" s="23" t="s">
        <v>791</v>
      </c>
    </row>
    <row r="10" spans="1:2" ht="12.75">
      <c r="A10" s="1" t="s">
        <v>66</v>
      </c>
      <c r="B10" s="87">
        <f>IRR(B8:IS8)</f>
        <v>0.18003460677661423</v>
      </c>
    </row>
    <row r="11" spans="1:2" ht="12.75">
      <c r="A11" t="s">
        <v>791</v>
      </c>
      <c r="B11" s="234" t="s">
        <v>791</v>
      </c>
    </row>
    <row r="13" ht="14.25">
      <c r="A13" s="41" t="s">
        <v>1108</v>
      </c>
    </row>
    <row r="14" spans="1:2" ht="25.5">
      <c r="A14" s="179" t="s">
        <v>67</v>
      </c>
      <c r="B14" s="23">
        <v>1000</v>
      </c>
    </row>
    <row r="15" spans="1:2" ht="25.5">
      <c r="A15" s="179" t="s">
        <v>68</v>
      </c>
      <c r="B15" s="23">
        <v>1037.9</v>
      </c>
    </row>
    <row r="16" spans="1:2" ht="12.75">
      <c r="A16" s="179" t="s">
        <v>69</v>
      </c>
      <c r="B16" s="87">
        <v>0.11</v>
      </c>
    </row>
    <row r="18" ht="12.75">
      <c r="A18" s="154" t="s">
        <v>64</v>
      </c>
    </row>
    <row r="19" spans="1:7" ht="12.75">
      <c r="A19" s="178" t="s">
        <v>979</v>
      </c>
      <c r="B19">
        <v>0</v>
      </c>
      <c r="C19">
        <v>1</v>
      </c>
      <c r="D19">
        <v>2</v>
      </c>
      <c r="E19">
        <v>3</v>
      </c>
      <c r="F19">
        <v>4</v>
      </c>
      <c r="G19">
        <v>5</v>
      </c>
    </row>
    <row r="20" spans="1:7" ht="12.75">
      <c r="A20" t="s">
        <v>1265</v>
      </c>
      <c r="B20" s="23">
        <f>-B15</f>
        <v>-1037.9</v>
      </c>
      <c r="C20" s="23">
        <v>110</v>
      </c>
      <c r="D20">
        <v>110</v>
      </c>
      <c r="E20">
        <v>110</v>
      </c>
      <c r="F20">
        <v>110</v>
      </c>
      <c r="G20">
        <v>1110</v>
      </c>
    </row>
    <row r="21" spans="1:3" ht="12.75">
      <c r="A21" t="s">
        <v>576</v>
      </c>
      <c r="B21" s="23" t="s">
        <v>791</v>
      </c>
      <c r="C21" s="23" t="s">
        <v>791</v>
      </c>
    </row>
    <row r="22" spans="1:2" ht="12.75">
      <c r="A22" s="183" t="s">
        <v>957</v>
      </c>
      <c r="B22" s="99">
        <f>IRR(B20:G20)</f>
        <v>0.10000202377462525</v>
      </c>
    </row>
    <row r="23" spans="1:2" ht="12.75">
      <c r="A23" s="179" t="s">
        <v>791</v>
      </c>
      <c r="B23" s="23" t="s">
        <v>791</v>
      </c>
    </row>
    <row r="25" ht="14.25">
      <c r="A25" s="41" t="s">
        <v>1118</v>
      </c>
    </row>
    <row r="26" spans="1:2" ht="25.5">
      <c r="A26" s="179" t="s">
        <v>70</v>
      </c>
      <c r="B26">
        <v>1000</v>
      </c>
    </row>
    <row r="28" spans="1:2" ht="12.75">
      <c r="A28" t="s">
        <v>71</v>
      </c>
      <c r="B28" s="87">
        <f>B10</f>
        <v>0.18003460677661423</v>
      </c>
    </row>
    <row r="29" spans="1:2" ht="12.75">
      <c r="A29" t="s">
        <v>72</v>
      </c>
      <c r="B29" s="23">
        <f>B26*B2</f>
        <v>30200</v>
      </c>
    </row>
    <row r="30" spans="1:2" ht="12.75">
      <c r="A30" t="s">
        <v>957</v>
      </c>
      <c r="B30" s="87">
        <f>B22</f>
        <v>0.10000202377462525</v>
      </c>
    </row>
    <row r="31" spans="1:2" ht="12.75">
      <c r="A31" t="s">
        <v>959</v>
      </c>
      <c r="B31" s="23">
        <f>B15</f>
        <v>1037.9</v>
      </c>
    </row>
    <row r="33" spans="1:2" ht="12.75">
      <c r="A33" s="1" t="s">
        <v>958</v>
      </c>
      <c r="B33" s="233">
        <f>(B28*B29+B30*B31)/(B29+B31)</f>
        <v>0.17737547098650783</v>
      </c>
    </row>
    <row r="35" ht="14.25">
      <c r="A35" s="41" t="s">
        <v>495</v>
      </c>
    </row>
    <row r="36" spans="2:3" ht="12.75">
      <c r="B36" s="106" t="s">
        <v>984</v>
      </c>
      <c r="C36" s="106" t="s">
        <v>526</v>
      </c>
    </row>
    <row r="37" spans="1:3" ht="12.75">
      <c r="A37" s="179" t="s">
        <v>73</v>
      </c>
      <c r="B37" s="23">
        <v>10000</v>
      </c>
      <c r="C37" s="23">
        <v>1000</v>
      </c>
    </row>
    <row r="38" spans="1:3" ht="12.75">
      <c r="A38" s="179" t="s">
        <v>1246</v>
      </c>
      <c r="B38" s="23">
        <v>12000</v>
      </c>
      <c r="C38" s="23">
        <v>1000</v>
      </c>
    </row>
    <row r="39" spans="1:3" ht="25.5">
      <c r="A39" s="179" t="s">
        <v>74</v>
      </c>
      <c r="B39" s="23">
        <v>1800</v>
      </c>
      <c r="C39" s="23">
        <v>100</v>
      </c>
    </row>
    <row r="41" spans="1:4" ht="12.75">
      <c r="A41" s="154" t="s">
        <v>75</v>
      </c>
      <c r="D41" s="1" t="s">
        <v>1095</v>
      </c>
    </row>
    <row r="42" spans="2:4" ht="12.75">
      <c r="B42" s="87">
        <f>B39/B38</f>
        <v>0.15</v>
      </c>
      <c r="C42" s="87">
        <f>C39/C38</f>
        <v>0.1</v>
      </c>
      <c r="D42" s="88">
        <f>SUM(B39:C39)/SUM(B38:C38)</f>
        <v>0.14615384615384616</v>
      </c>
    </row>
    <row r="44" ht="14.25">
      <c r="A44" s="41" t="s">
        <v>515</v>
      </c>
    </row>
    <row r="45" spans="1:2" ht="12.75">
      <c r="A45" t="s">
        <v>76</v>
      </c>
      <c r="B45">
        <v>100</v>
      </c>
    </row>
    <row r="46" spans="1:2" ht="12.75">
      <c r="A46" t="s">
        <v>77</v>
      </c>
      <c r="B46">
        <v>26</v>
      </c>
    </row>
    <row r="47" spans="1:2" ht="12.75">
      <c r="A47" t="s">
        <v>232</v>
      </c>
      <c r="B47" s="47">
        <v>0.5</v>
      </c>
    </row>
    <row r="48" ht="12.75">
      <c r="A48" s="154" t="s">
        <v>78</v>
      </c>
    </row>
    <row r="49" spans="2:4" ht="21">
      <c r="B49" s="64" t="s">
        <v>79</v>
      </c>
      <c r="C49" s="64" t="s">
        <v>80</v>
      </c>
      <c r="D49" s="64" t="s">
        <v>81</v>
      </c>
    </row>
    <row r="50" spans="1:4" ht="12.75">
      <c r="A50" t="s">
        <v>82</v>
      </c>
      <c r="B50" s="47">
        <v>0.6</v>
      </c>
      <c r="C50" s="47">
        <v>0.24</v>
      </c>
      <c r="D50" s="47">
        <v>0.24</v>
      </c>
    </row>
    <row r="51" spans="1:4" ht="12.75">
      <c r="A51" t="s">
        <v>526</v>
      </c>
      <c r="B51" s="47">
        <v>0.4</v>
      </c>
      <c r="C51" s="47">
        <v>0.16</v>
      </c>
      <c r="D51" s="47">
        <v>0.08</v>
      </c>
    </row>
    <row r="52" spans="2:4" ht="12.75">
      <c r="B52" s="47"/>
      <c r="C52" s="47"/>
      <c r="D52" s="47"/>
    </row>
    <row r="53" spans="1:4" ht="12.75">
      <c r="A53" t="s">
        <v>82</v>
      </c>
      <c r="B53" s="23"/>
      <c r="C53" s="23">
        <f>B46-C54</f>
        <v>19.6</v>
      </c>
      <c r="D53" s="23">
        <f>C53*(1-B47)</f>
        <v>9.8</v>
      </c>
    </row>
    <row r="54" spans="1:4" ht="12.75">
      <c r="A54" t="s">
        <v>526</v>
      </c>
      <c r="B54" s="23">
        <f>B45*B51</f>
        <v>40</v>
      </c>
      <c r="C54" s="23">
        <f>B54*C51</f>
        <v>6.4</v>
      </c>
      <c r="D54" s="23">
        <f>C54</f>
        <v>6.4</v>
      </c>
    </row>
    <row r="55" spans="1:4" ht="12.75">
      <c r="A55" t="s">
        <v>1265</v>
      </c>
      <c r="B55" s="47"/>
      <c r="C55" s="23">
        <f>SUM(C53:C54)</f>
        <v>26</v>
      </c>
      <c r="D55" s="23">
        <f>SUM(D53:D54)</f>
        <v>16.200000000000003</v>
      </c>
    </row>
    <row r="57" ht="12.75">
      <c r="A57" s="154" t="s">
        <v>1289</v>
      </c>
    </row>
    <row r="58" spans="1:3" ht="12.75">
      <c r="A58" t="s">
        <v>979</v>
      </c>
      <c r="B58">
        <v>0</v>
      </c>
      <c r="C58">
        <v>0</v>
      </c>
    </row>
    <row r="59" spans="1:3" ht="12.75">
      <c r="A59" t="s">
        <v>83</v>
      </c>
      <c r="B59" s="23">
        <f>-B$45</f>
        <v>-100</v>
      </c>
      <c r="C59" s="23">
        <f>SUM($C53:$C54)/B60</f>
        <v>125</v>
      </c>
    </row>
    <row r="60" spans="1:3" ht="12.75">
      <c r="A60" s="1" t="s">
        <v>958</v>
      </c>
      <c r="B60" s="136">
        <f>B50*C50+B51*C51</f>
        <v>0.208</v>
      </c>
      <c r="C60" s="152"/>
    </row>
    <row r="61" spans="1:3" ht="12.75">
      <c r="A61" s="1" t="s">
        <v>84</v>
      </c>
      <c r="B61" s="92">
        <f>SUMPRODUCT(B59:C59,POWER(1+B60,-B58:C58))</f>
        <v>25</v>
      </c>
      <c r="C61" s="152"/>
    </row>
    <row r="62" ht="12.75">
      <c r="C62" s="152"/>
    </row>
    <row r="63" spans="1:3" ht="12.75">
      <c r="A63" t="s">
        <v>85</v>
      </c>
      <c r="B63" s="23">
        <f>-B$45</f>
        <v>-100</v>
      </c>
      <c r="C63" s="23">
        <f>B46*(1-B47)/B64</f>
        <v>73.86363636363637</v>
      </c>
    </row>
    <row r="64" spans="1:2" ht="12.75">
      <c r="A64" s="1" t="s">
        <v>958</v>
      </c>
      <c r="B64" s="136">
        <f>B50*D50+B51*D51</f>
        <v>0.176</v>
      </c>
    </row>
    <row r="65" spans="1:2" ht="12.75">
      <c r="A65" s="1" t="s">
        <v>86</v>
      </c>
      <c r="B65" s="92">
        <f>B63+C63</f>
        <v>-26.136363636363626</v>
      </c>
    </row>
    <row r="67" ht="14.25">
      <c r="A67" s="41" t="s">
        <v>87</v>
      </c>
    </row>
    <row r="68" spans="1:4" ht="31.5">
      <c r="A68" s="33"/>
      <c r="B68" s="122" t="s">
        <v>91</v>
      </c>
      <c r="C68" s="122" t="s">
        <v>92</v>
      </c>
      <c r="D68" s="122" t="s">
        <v>93</v>
      </c>
    </row>
    <row r="69" spans="1:4" ht="25.5">
      <c r="A69" s="179" t="s">
        <v>88</v>
      </c>
      <c r="B69" s="23">
        <v>2160</v>
      </c>
      <c r="C69" s="23">
        <v>18500</v>
      </c>
      <c r="D69" s="23">
        <v>632</v>
      </c>
    </row>
    <row r="70" spans="1:4" ht="12.75">
      <c r="A70" s="179" t="s">
        <v>82</v>
      </c>
      <c r="B70" s="23">
        <v>1580</v>
      </c>
      <c r="C70" s="23">
        <v>10512</v>
      </c>
      <c r="D70" s="23">
        <v>824</v>
      </c>
    </row>
    <row r="71" spans="1:4" ht="12.75">
      <c r="A71" s="189" t="s">
        <v>526</v>
      </c>
      <c r="B71" s="38">
        <v>812</v>
      </c>
      <c r="C71" s="38">
        <v>-12</v>
      </c>
      <c r="D71" s="38">
        <v>1356</v>
      </c>
    </row>
    <row r="72" spans="1:4" ht="12.75">
      <c r="A72" s="179" t="s">
        <v>238</v>
      </c>
      <c r="B72" s="23">
        <v>22210</v>
      </c>
      <c r="C72" s="23">
        <v>23724</v>
      </c>
      <c r="D72" s="23">
        <v>701</v>
      </c>
    </row>
    <row r="73" spans="1:4" ht="12.75">
      <c r="A73" s="179" t="s">
        <v>364</v>
      </c>
      <c r="B73" s="23">
        <v>405</v>
      </c>
      <c r="C73" s="23">
        <v>1625</v>
      </c>
      <c r="D73" s="23">
        <v>82</v>
      </c>
    </row>
    <row r="74" spans="1:4" ht="12.75">
      <c r="A74" s="201" t="s">
        <v>266</v>
      </c>
      <c r="B74" s="38">
        <v>226</v>
      </c>
      <c r="C74" s="38">
        <v>1057</v>
      </c>
      <c r="D74" s="38">
        <v>-24</v>
      </c>
    </row>
    <row r="75" spans="1:4" ht="12.75">
      <c r="A75" s="179" t="s">
        <v>89</v>
      </c>
      <c r="B75">
        <v>0.8</v>
      </c>
      <c r="C75">
        <v>0.5</v>
      </c>
      <c r="D75">
        <v>1.2</v>
      </c>
    </row>
    <row r="76" spans="1:4" ht="12.75">
      <c r="A76" s="201" t="s">
        <v>90</v>
      </c>
      <c r="B76" s="33">
        <v>0.1</v>
      </c>
      <c r="C76" s="33">
        <v>0</v>
      </c>
      <c r="D76" s="33">
        <v>0.3</v>
      </c>
    </row>
    <row r="77" spans="1:4" ht="12.75">
      <c r="A77" s="179" t="s">
        <v>232</v>
      </c>
      <c r="B77" s="47">
        <v>0.35</v>
      </c>
      <c r="C77" s="47">
        <v>0.35</v>
      </c>
      <c r="D77" s="47">
        <v>0.35</v>
      </c>
    </row>
    <row r="79" spans="1:2" ht="12.75">
      <c r="A79" s="179" t="s">
        <v>94</v>
      </c>
      <c r="B79" s="83">
        <v>0.065</v>
      </c>
    </row>
    <row r="80" spans="1:2" ht="12.75">
      <c r="A80" s="178" t="s">
        <v>985</v>
      </c>
      <c r="B80" s="83">
        <v>0.11</v>
      </c>
    </row>
    <row r="82" spans="1:5" ht="12.75">
      <c r="A82" s="33"/>
      <c r="B82" s="33"/>
      <c r="C82" s="33"/>
      <c r="D82" s="33"/>
      <c r="E82" s="123" t="s">
        <v>95</v>
      </c>
    </row>
    <row r="83" spans="1:5" ht="12.75">
      <c r="A83" t="s">
        <v>65</v>
      </c>
      <c r="B83" s="84">
        <f>$B79+B75*($B80-$B79)</f>
        <v>0.101</v>
      </c>
      <c r="C83" s="84">
        <f>$B79+C75*($B80-$B79)</f>
        <v>0.0875</v>
      </c>
      <c r="D83" s="84">
        <f>$B79+D75*($B80-$B79)</f>
        <v>0.119</v>
      </c>
      <c r="E83" s="192">
        <f>SUMPRODUCT(B83:D83,B69:D69)/SUM(B69:D69)</f>
        <v>0.08980452752207403</v>
      </c>
    </row>
    <row r="84" spans="1:5" ht="12.75">
      <c r="A84" t="s">
        <v>957</v>
      </c>
      <c r="B84" s="84">
        <f>($B79+B76*($B80-$B79))*(1-B77)</f>
        <v>0.04517500000000001</v>
      </c>
      <c r="C84" s="84">
        <f>($B79+C76*($B80-$B79))*(1-C77)</f>
        <v>0.04225</v>
      </c>
      <c r="D84" s="84">
        <f>($B79+D76*($B80-$B79))*(1-D77)</f>
        <v>0.051025</v>
      </c>
      <c r="E84" s="193">
        <f>SUMPRODUCT(B84:D84,B71:D71)/SUM(B71:D71)</f>
        <v>0.04887059369202227</v>
      </c>
    </row>
    <row r="85" spans="1:5" ht="12.75">
      <c r="A85" s="1" t="s">
        <v>958</v>
      </c>
      <c r="B85" s="84">
        <f>(B83*B69+B84*B71)/(B69+B71)</f>
        <v>0.08574767833109018</v>
      </c>
      <c r="C85" s="84">
        <f>(C83*C69+C84*C71)/(C69+C71)</f>
        <v>0.08752937040242319</v>
      </c>
      <c r="D85" s="84">
        <f>(D83*D69+D84*D71)/(D69+D71)</f>
        <v>0.07263475855130784</v>
      </c>
      <c r="E85" s="194">
        <f>SUMPRODUCT(B85:D85,B69:D69+B71:D71)/SUM(B69:D69,B71:D71)</f>
        <v>0.08604072842033436</v>
      </c>
    </row>
    <row r="90" ht="12.75">
      <c r="A90" s="190"/>
    </row>
    <row r="91" spans="1:4" ht="12.75">
      <c r="A91" s="188"/>
      <c r="B91" s="84"/>
      <c r="C91" s="84"/>
      <c r="D91" s="84"/>
    </row>
    <row r="93" ht="12.75">
      <c r="A93" s="188"/>
    </row>
    <row r="94" spans="1:2" ht="12.75">
      <c r="A94" s="191"/>
      <c r="B94" s="99"/>
    </row>
  </sheetData>
  <printOptions/>
  <pageMargins left="0.7874015748031497" right="0.7874015748031497" top="0.984251968503937" bottom="0.984251968503937" header="0.5118110236220472" footer="0.5118110236220472"/>
  <pageSetup fitToHeight="4"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21.xml><?xml version="1.0" encoding="utf-8"?>
<worksheet xmlns="http://schemas.openxmlformats.org/spreadsheetml/2006/main" xmlns:r="http://schemas.openxmlformats.org/officeDocument/2006/relationships">
  <dimension ref="A1:G17"/>
  <sheetViews>
    <sheetView showGridLines="0" zoomScale="75" zoomScaleNormal="75" workbookViewId="0" topLeftCell="A1">
      <selection activeCell="A1" sqref="A1"/>
    </sheetView>
  </sheetViews>
  <sheetFormatPr defaultColWidth="11.00390625" defaultRowHeight="12.75"/>
  <cols>
    <col min="2" max="2" width="15.25390625" style="0" customWidth="1"/>
    <col min="3" max="3" width="14.50390625" style="0" customWidth="1"/>
    <col min="6" max="6" width="17.25390625" style="0" customWidth="1"/>
  </cols>
  <sheetData>
    <row r="1" ht="14.25">
      <c r="A1" s="41" t="s">
        <v>370</v>
      </c>
    </row>
    <row r="3" spans="1:6" ht="12.75">
      <c r="A3" s="127" t="s">
        <v>96</v>
      </c>
      <c r="B3" s="127" t="s">
        <v>97</v>
      </c>
      <c r="C3" s="127" t="s">
        <v>98</v>
      </c>
      <c r="D3" s="127" t="s">
        <v>45</v>
      </c>
      <c r="E3" s="127" t="s">
        <v>216</v>
      </c>
      <c r="F3" s="127" t="s">
        <v>99</v>
      </c>
    </row>
    <row r="4" spans="1:6" ht="12.75">
      <c r="A4" s="106">
        <v>1</v>
      </c>
      <c r="B4" s="106">
        <v>1</v>
      </c>
      <c r="C4" s="253">
        <v>0.07</v>
      </c>
      <c r="D4" s="254">
        <v>0.08081338482846598</v>
      </c>
      <c r="E4" s="255">
        <f>100*C4*((1-1/POWER((1+D4),B4))/D4)+100/POWER((1+D4),B4)</f>
        <v>98.999514164031</v>
      </c>
      <c r="F4" s="254">
        <f>D4</f>
        <v>0.08081338482846598</v>
      </c>
    </row>
    <row r="5" spans="1:6" ht="12.75">
      <c r="A5" s="106">
        <v>2</v>
      </c>
      <c r="B5" s="106">
        <v>2</v>
      </c>
      <c r="C5" s="253">
        <v>0.09</v>
      </c>
      <c r="D5" s="254">
        <v>0.09572890287847158</v>
      </c>
      <c r="E5" s="255">
        <f>100*C5*((1-1/POWER((1+D5),B5))/D5)+100/POWER((1+D5),B5)</f>
        <v>98.99999924554395</v>
      </c>
      <c r="F5" s="326">
        <f>(SQRT((100+C5*100)/(E5-(100*C5/(1+F4))))-1)</f>
        <v>0.09641358153678747</v>
      </c>
    </row>
    <row r="6" spans="1:6" ht="12.75">
      <c r="A6" s="106">
        <v>3</v>
      </c>
      <c r="B6" s="106">
        <v>3</v>
      </c>
      <c r="C6" s="253">
        <v>0.08</v>
      </c>
      <c r="D6" s="254">
        <v>0.10011081197224735</v>
      </c>
      <c r="E6" s="255">
        <f>100*C6*((1-1/POWER((1+D6),B6))/D6)+100/POWER((1+D6),B6)</f>
        <v>94.99971423093025</v>
      </c>
      <c r="F6" s="254">
        <f>POWER((100*C6+100)/(E6-(100*C6/(1+F4))-(100*C6/(1+F5)/(1+F5))),1/3)-1</f>
        <v>0.10090077218810833</v>
      </c>
    </row>
    <row r="7" spans="1:6" ht="12.75">
      <c r="A7" s="106">
        <v>4</v>
      </c>
      <c r="B7" s="106">
        <v>4</v>
      </c>
      <c r="C7" s="253">
        <v>0.07</v>
      </c>
      <c r="D7" s="254">
        <v>0.10508453890480668</v>
      </c>
      <c r="E7" s="255">
        <f>100*C7*((1-1/POWER((1+D7),B7))/D7)+100/POWER((1+D7),B7)</f>
        <v>88.99998485801227</v>
      </c>
      <c r="F7" s="254">
        <f>POWER((100*C7+100)/(E7-(100*C7/(1+F4))-(100*C7/(1+F5)/(1+F5))-100*C7/(1+F6)/(1+F6)/(1+F6)),1/4)-1</f>
        <v>0.1062142318701591</v>
      </c>
    </row>
    <row r="8" spans="1:6" ht="12.75">
      <c r="A8" s="106">
        <v>5</v>
      </c>
      <c r="B8" s="106">
        <v>5</v>
      </c>
      <c r="C8" s="253">
        <v>0.1</v>
      </c>
      <c r="D8" s="254">
        <v>0.10807789243563648</v>
      </c>
      <c r="E8" s="255">
        <f>100*C8*((1-1/POWER((1+D8),B8))/D8)+100/POWER((1+D8),B8)</f>
        <v>97.00000234696454</v>
      </c>
      <c r="F8" s="254">
        <f>POWER((100*C8+100)/(E8-(100*C8/(1+F4))-(100*C8/(1+F5)/(1+F5))-100*C8/(1+F6)/(1+F6)/(1+F6)-100*C8/(1+F7)/(1+F7)/(1+F7)/(1+F7)),1/5)-1</f>
        <v>0.11007898885350897</v>
      </c>
    </row>
    <row r="10" ht="14.25">
      <c r="A10" s="41" t="s">
        <v>1108</v>
      </c>
    </row>
    <row r="12" spans="2:7" s="106" customFormat="1" ht="12.75">
      <c r="B12" s="106" t="s">
        <v>20</v>
      </c>
      <c r="C12" s="106" t="s">
        <v>872</v>
      </c>
      <c r="D12" s="106" t="s">
        <v>873</v>
      </c>
      <c r="E12" s="106" t="s">
        <v>874</v>
      </c>
      <c r="F12" s="106" t="s">
        <v>873</v>
      </c>
      <c r="G12" s="106" t="s">
        <v>874</v>
      </c>
    </row>
    <row r="13" spans="1:7" ht="12.75">
      <c r="A13">
        <v>1</v>
      </c>
      <c r="B13" s="378">
        <v>2005</v>
      </c>
      <c r="C13" s="47">
        <v>0.06</v>
      </c>
      <c r="D13">
        <v>50</v>
      </c>
      <c r="E13" s="379">
        <f>D13/(1+C13)</f>
        <v>47.16981132075472</v>
      </c>
      <c r="F13">
        <v>90</v>
      </c>
      <c r="G13" s="379">
        <f>F13/(1+C13)^A13</f>
        <v>84.90566037735849</v>
      </c>
    </row>
    <row r="14" spans="1:7" ht="12.75">
      <c r="A14">
        <f aca="true" t="shared" si="0" ref="A14:B16">A13+1</f>
        <v>2</v>
      </c>
      <c r="B14" s="378">
        <f t="shared" si="0"/>
        <v>2006</v>
      </c>
      <c r="C14" s="47">
        <v>0.07</v>
      </c>
      <c r="D14">
        <v>50</v>
      </c>
      <c r="E14" s="379">
        <f>D14/(1+C14)^A14</f>
        <v>43.67193641366058</v>
      </c>
      <c r="F14">
        <v>90</v>
      </c>
      <c r="G14" s="379">
        <f>F14/(1+C14)^A14</f>
        <v>78.60948554458905</v>
      </c>
    </row>
    <row r="15" spans="1:7" ht="12.75">
      <c r="A15">
        <f t="shared" si="0"/>
        <v>3</v>
      </c>
      <c r="B15" s="378">
        <f t="shared" si="0"/>
        <v>2007</v>
      </c>
      <c r="C15" s="47">
        <v>0.08</v>
      </c>
      <c r="D15">
        <v>50</v>
      </c>
      <c r="E15" s="379">
        <f>D15/(1+C15)^A15</f>
        <v>39.69161205100848</v>
      </c>
      <c r="F15">
        <v>90</v>
      </c>
      <c r="G15" s="379">
        <f>F15/(1+C15)^A15</f>
        <v>71.44490169181526</v>
      </c>
    </row>
    <row r="16" spans="1:7" ht="12.75">
      <c r="A16">
        <f t="shared" si="0"/>
        <v>4</v>
      </c>
      <c r="B16" s="378">
        <f t="shared" si="0"/>
        <v>2008</v>
      </c>
      <c r="C16" s="47">
        <v>0.09</v>
      </c>
      <c r="D16">
        <v>1050</v>
      </c>
      <c r="E16" s="379">
        <f>D16/(1+C16)^A16</f>
        <v>743.8464716184562</v>
      </c>
      <c r="F16">
        <v>1090</v>
      </c>
      <c r="G16" s="379">
        <f>F16/(1+C16)^A16</f>
        <v>772.1834800610641</v>
      </c>
    </row>
    <row r="17" spans="5:7" ht="12.75">
      <c r="E17" s="379">
        <f>SUM(E13:E16)</f>
        <v>874.37983140388</v>
      </c>
      <c r="G17" s="379">
        <f>SUM(G13:G16)</f>
        <v>1007.1435276748268</v>
      </c>
    </row>
  </sheetData>
  <printOptions/>
  <pageMargins left="0.75" right="0.75" top="1" bottom="1"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dimension ref="A1:F19"/>
  <sheetViews>
    <sheetView showGridLines="0" zoomScale="75" zoomScaleNormal="75" workbookViewId="0" topLeftCell="A1">
      <selection activeCell="C10" sqref="C10:C11"/>
    </sheetView>
  </sheetViews>
  <sheetFormatPr defaultColWidth="11.00390625" defaultRowHeight="12.75"/>
  <cols>
    <col min="1" max="1" width="28.875" style="0" bestFit="1" customWidth="1"/>
    <col min="2" max="2" width="15.25390625" style="0" customWidth="1"/>
    <col min="3" max="3" width="14.50390625" style="0" customWidth="1"/>
    <col min="6" max="6" width="17.25390625" style="0" customWidth="1"/>
  </cols>
  <sheetData>
    <row r="1" ht="14.25">
      <c r="A1" s="41" t="s">
        <v>370</v>
      </c>
    </row>
    <row r="2" spans="1:6" ht="12.75">
      <c r="A2" s="55"/>
      <c r="B2" s="55"/>
      <c r="C2" s="55"/>
      <c r="D2" s="55"/>
      <c r="E2" s="55"/>
      <c r="F2" s="55"/>
    </row>
    <row r="3" spans="1:6" ht="12.75">
      <c r="A3" t="s">
        <v>28</v>
      </c>
      <c r="B3" s="262">
        <v>1</v>
      </c>
      <c r="C3" s="262">
        <v>2</v>
      </c>
      <c r="D3" s="262">
        <v>3</v>
      </c>
      <c r="E3" s="262"/>
      <c r="F3" s="262"/>
    </row>
    <row r="4" spans="1:6" ht="12.75">
      <c r="A4" s="381" t="s">
        <v>209</v>
      </c>
      <c r="B4" s="262">
        <v>1</v>
      </c>
      <c r="C4" s="262">
        <v>2</v>
      </c>
      <c r="D4" s="262">
        <v>3</v>
      </c>
      <c r="E4" s="257" t="s">
        <v>921</v>
      </c>
      <c r="F4" s="359"/>
    </row>
    <row r="5" spans="1:6" ht="12.75">
      <c r="A5" s="106"/>
      <c r="B5" s="106"/>
      <c r="C5" s="262"/>
      <c r="D5" s="262"/>
      <c r="E5" s="255"/>
      <c r="F5" s="358"/>
    </row>
    <row r="6" spans="1:6" ht="12.75">
      <c r="A6" s="378" t="s">
        <v>876</v>
      </c>
      <c r="B6" s="253">
        <v>0.04</v>
      </c>
      <c r="C6" s="253"/>
      <c r="D6" s="254"/>
      <c r="E6" s="255"/>
      <c r="F6" s="254"/>
    </row>
    <row r="7" spans="1:6" ht="12.75">
      <c r="A7" s="378" t="s">
        <v>877</v>
      </c>
      <c r="B7" s="253">
        <v>0.11</v>
      </c>
      <c r="C7" s="253"/>
      <c r="D7" s="254"/>
      <c r="E7" s="255"/>
      <c r="F7" s="254"/>
    </row>
    <row r="8" spans="1:6" ht="12.75">
      <c r="A8" s="106"/>
      <c r="B8" s="106"/>
      <c r="C8" s="253"/>
      <c r="D8" s="254"/>
      <c r="E8" s="255"/>
      <c r="F8" s="254"/>
    </row>
    <row r="9" spans="1:4" ht="12.75">
      <c r="A9" s="378" t="s">
        <v>878</v>
      </c>
      <c r="B9" s="379">
        <f>1/1.11+2/1.11^2+3/1.11^3+D9/1.11^3</f>
        <v>37.307964334991354</v>
      </c>
      <c r="D9">
        <f>3*1.04/(11%-4%)</f>
        <v>44.57142857142857</v>
      </c>
    </row>
    <row r="10" spans="1:4" ht="12.75">
      <c r="A10" s="378" t="s">
        <v>879</v>
      </c>
      <c r="B10">
        <f>C4/(1+B7)+(D4/(B7-B6))/(1+B7)</f>
        <v>40.4118404118404</v>
      </c>
      <c r="C10" s="106" t="s">
        <v>1296</v>
      </c>
      <c r="D10">
        <f>B9*(1+B7)-B4</f>
        <v>40.41184041184041</v>
      </c>
    </row>
    <row r="11" spans="1:4" ht="12.75">
      <c r="A11" s="378" t="s">
        <v>880</v>
      </c>
      <c r="B11">
        <f>D4*(1+B6)/(B7-B6)</f>
        <v>44.57142857142857</v>
      </c>
      <c r="C11" s="106" t="s">
        <v>1296</v>
      </c>
      <c r="D11">
        <f>B9*(1+B7)^3-B4*(1+B7)^2-C4*(1+B7)-D4</f>
        <v>44.57142857142857</v>
      </c>
    </row>
    <row r="13" ht="14.25">
      <c r="A13" s="41" t="s">
        <v>1108</v>
      </c>
    </row>
    <row r="15" spans="1:3" ht="12.75">
      <c r="A15" t="s">
        <v>881</v>
      </c>
      <c r="B15">
        <v>3</v>
      </c>
      <c r="C15" t="s">
        <v>921</v>
      </c>
    </row>
    <row r="16" spans="1:2" ht="12.75">
      <c r="A16" t="s">
        <v>882</v>
      </c>
      <c r="B16" s="47">
        <v>0.04</v>
      </c>
    </row>
    <row r="17" spans="1:2" ht="12.75">
      <c r="A17" t="s">
        <v>878</v>
      </c>
      <c r="B17">
        <v>25</v>
      </c>
    </row>
    <row r="19" spans="1:2" ht="12.75">
      <c r="A19" t="s">
        <v>883</v>
      </c>
      <c r="B19" s="47">
        <f>B15/B17+B16</f>
        <v>0.16</v>
      </c>
    </row>
  </sheetData>
  <printOptions/>
  <pageMargins left="0.75" right="0.75" top="1" bottom="1" header="0.4921259845" footer="0.4921259845"/>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A1:L45"/>
  <sheetViews>
    <sheetView showGridLines="0" zoomScale="75" zoomScaleNormal="75" workbookViewId="0" topLeftCell="A1">
      <selection activeCell="A1" sqref="A1"/>
    </sheetView>
  </sheetViews>
  <sheetFormatPr defaultColWidth="11.00390625" defaultRowHeight="12.75"/>
  <cols>
    <col min="1" max="1" width="18.75390625" style="0" bestFit="1" customWidth="1"/>
    <col min="2" max="2" width="16.75390625" style="0" bestFit="1" customWidth="1"/>
  </cols>
  <sheetData>
    <row r="1" ht="14.25">
      <c r="A1" s="41" t="s">
        <v>17</v>
      </c>
    </row>
    <row r="2" ht="14.25">
      <c r="A2" s="41"/>
    </row>
    <row r="3" spans="1:3" ht="12.75">
      <c r="A3" t="s">
        <v>110</v>
      </c>
      <c r="B3">
        <v>500</v>
      </c>
      <c r="C3" t="s">
        <v>931</v>
      </c>
    </row>
    <row r="4" spans="1:3" ht="12.75">
      <c r="A4" t="s">
        <v>100</v>
      </c>
      <c r="B4">
        <v>33.3</v>
      </c>
      <c r="C4" t="s">
        <v>931</v>
      </c>
    </row>
    <row r="5" spans="1:2" ht="12.75">
      <c r="A5" t="s">
        <v>101</v>
      </c>
      <c r="B5" s="47">
        <v>0.25</v>
      </c>
    </row>
    <row r="6" spans="1:2" ht="12.75">
      <c r="A6" t="s">
        <v>102</v>
      </c>
      <c r="B6" s="47">
        <v>0.15</v>
      </c>
    </row>
    <row r="8" spans="1:6" ht="12.75">
      <c r="A8" t="s">
        <v>916</v>
      </c>
      <c r="B8">
        <v>0</v>
      </c>
      <c r="C8">
        <v>1</v>
      </c>
      <c r="D8">
        <v>2</v>
      </c>
      <c r="E8">
        <v>3</v>
      </c>
      <c r="F8">
        <v>3</v>
      </c>
    </row>
    <row r="9" spans="1:6" ht="12.75">
      <c r="A9" t="s">
        <v>1289</v>
      </c>
      <c r="B9" s="6">
        <f>-B3</f>
        <v>-500</v>
      </c>
      <c r="C9" s="6">
        <f>$B4*$B5*POWER(1+$B6,C8)</f>
        <v>9.573749999999999</v>
      </c>
      <c r="D9" s="6">
        <f>$B4*$B5*POWER(1+$B6,D8)</f>
        <v>11.009812499999997</v>
      </c>
      <c r="E9" s="6">
        <f>$B4*$B5*POWER(1+$B6,E8)</f>
        <v>12.661284374999996</v>
      </c>
      <c r="F9" s="6">
        <f>B14</f>
        <v>665.4624136250002</v>
      </c>
    </row>
    <row r="10" spans="1:2" ht="12.75">
      <c r="A10" t="s">
        <v>1183</v>
      </c>
      <c r="B10" s="47">
        <v>0.12</v>
      </c>
    </row>
    <row r="11" spans="1:6" ht="12.75">
      <c r="A11" t="s">
        <v>103</v>
      </c>
      <c r="B11" s="6">
        <f>B9/POWER(1+$B10,B8)</f>
        <v>-500</v>
      </c>
      <c r="C11" s="6">
        <f>C9/POWER(1+$B10,C8)</f>
        <v>8.54799107142857</v>
      </c>
      <c r="D11" s="6">
        <f>D9/POWER(1+$B10,D8)</f>
        <v>8.77695511798469</v>
      </c>
      <c r="E11" s="6">
        <f>E9/POWER(1+$B10,E8)</f>
        <v>9.012052130073563</v>
      </c>
      <c r="F11" s="6">
        <f>F9/POWER(1+$B10,F8)</f>
        <v>473.66300168051316</v>
      </c>
    </row>
    <row r="12" spans="1:2" ht="12.75">
      <c r="A12" t="s">
        <v>1236</v>
      </c>
      <c r="B12">
        <f>SUM(B11:F11)</f>
        <v>0</v>
      </c>
    </row>
    <row r="14" spans="1:2" ht="25.5">
      <c r="A14" s="3" t="s">
        <v>104</v>
      </c>
      <c r="B14" s="6">
        <v>665.4624136250002</v>
      </c>
    </row>
    <row r="15" spans="1:2" ht="12.75">
      <c r="A15" s="3" t="s">
        <v>105</v>
      </c>
      <c r="B15" s="6">
        <f>E9/B5</f>
        <v>50.64513749999998</v>
      </c>
    </row>
    <row r="16" spans="1:2" ht="12.75">
      <c r="A16" s="1" t="s">
        <v>106</v>
      </c>
      <c r="B16" s="134">
        <f>B14/B15</f>
        <v>13.139709880835063</v>
      </c>
    </row>
    <row r="18" ht="14.25">
      <c r="A18" s="41" t="s">
        <v>1108</v>
      </c>
    </row>
    <row r="19" spans="1:7" ht="14.25">
      <c r="A19" s="20"/>
      <c r="C19" s="389" t="s">
        <v>100</v>
      </c>
      <c r="D19" s="390"/>
      <c r="E19" s="390"/>
      <c r="F19" s="49"/>
      <c r="G19" s="55"/>
    </row>
    <row r="20" spans="1:12" ht="21">
      <c r="A20" s="122" t="s">
        <v>351</v>
      </c>
      <c r="B20" s="123" t="s">
        <v>110</v>
      </c>
      <c r="C20" s="123">
        <v>2001</v>
      </c>
      <c r="D20" s="122">
        <f>C20+1</f>
        <v>2002</v>
      </c>
      <c r="E20" s="122">
        <f>D20+1</f>
        <v>2003</v>
      </c>
      <c r="F20" s="123" t="s">
        <v>621</v>
      </c>
      <c r="G20" s="123" t="s">
        <v>622</v>
      </c>
      <c r="H20" s="123" t="s">
        <v>107</v>
      </c>
      <c r="I20" s="123" t="s">
        <v>111</v>
      </c>
      <c r="J20" s="123" t="s">
        <v>108</v>
      </c>
      <c r="K20" s="123" t="s">
        <v>109</v>
      </c>
      <c r="L20" s="123" t="s">
        <v>929</v>
      </c>
    </row>
    <row r="21" spans="1:12" ht="12.75">
      <c r="A21" t="s">
        <v>619</v>
      </c>
      <c r="B21" s="166">
        <v>147</v>
      </c>
      <c r="C21" s="49">
        <v>5.52</v>
      </c>
      <c r="D21" s="55">
        <v>5.99</v>
      </c>
      <c r="E21" s="55">
        <v>6.39</v>
      </c>
      <c r="F21" s="138">
        <v>0.24</v>
      </c>
      <c r="G21" s="138">
        <f>E21/D21-1</f>
        <v>0.06677796327212016</v>
      </c>
      <c r="H21" s="138">
        <v>0.56</v>
      </c>
      <c r="I21" s="137">
        <f>H21*C21/B21</f>
        <v>0.02102857142857143</v>
      </c>
      <c r="J21" s="49">
        <v>57.4</v>
      </c>
      <c r="K21" s="49">
        <v>24.5</v>
      </c>
      <c r="L21" s="49">
        <v>0.5</v>
      </c>
    </row>
    <row r="22" spans="1:12" ht="12.75">
      <c r="A22" t="s">
        <v>941</v>
      </c>
      <c r="B22" s="166">
        <v>27.25</v>
      </c>
      <c r="C22" s="49">
        <v>0.81</v>
      </c>
      <c r="D22" s="55">
        <v>0.75</v>
      </c>
      <c r="E22" s="55">
        <v>0.95</v>
      </c>
      <c r="F22" s="138">
        <v>0.2</v>
      </c>
      <c r="G22" s="138">
        <f>E22/D22-1</f>
        <v>0.2666666666666666</v>
      </c>
      <c r="H22" s="138">
        <v>0.72</v>
      </c>
      <c r="I22" s="137">
        <f>H22*C22/B22</f>
        <v>0.021401834862385324</v>
      </c>
      <c r="J22" s="49">
        <v>2.5</v>
      </c>
      <c r="K22" s="49">
        <v>36.3</v>
      </c>
      <c r="L22" s="49">
        <v>1.5</v>
      </c>
    </row>
    <row r="23" spans="1:12" ht="12.75">
      <c r="A23" t="s">
        <v>620</v>
      </c>
      <c r="B23" s="166">
        <v>16.79</v>
      </c>
      <c r="C23" s="49">
        <v>1.29</v>
      </c>
      <c r="D23" s="55">
        <v>0.34</v>
      </c>
      <c r="E23" s="55">
        <v>1.35</v>
      </c>
      <c r="F23" s="138">
        <v>0.32</v>
      </c>
      <c r="G23" s="138">
        <f>E23/D23-1</f>
        <v>2.9705882352941178</v>
      </c>
      <c r="H23" s="138">
        <v>0.39</v>
      </c>
      <c r="I23" s="137">
        <f>H23*C23/B23</f>
        <v>0.029964264443120905</v>
      </c>
      <c r="J23" s="49">
        <v>26.2</v>
      </c>
      <c r="K23" s="49">
        <v>49.4</v>
      </c>
      <c r="L23" s="49">
        <v>1</v>
      </c>
    </row>
    <row r="24" ht="12.75">
      <c r="B24" s="6"/>
    </row>
    <row r="25" ht="12.75">
      <c r="B25" s="6"/>
    </row>
    <row r="26" spans="1:2" ht="12.75">
      <c r="A26" t="s">
        <v>94</v>
      </c>
      <c r="B26" s="87">
        <v>0.053</v>
      </c>
    </row>
    <row r="27" spans="1:2" ht="12.75">
      <c r="A27" t="s">
        <v>112</v>
      </c>
      <c r="B27" s="87">
        <v>0.039</v>
      </c>
    </row>
    <row r="28" ht="12.75">
      <c r="B28" s="6"/>
    </row>
    <row r="29" spans="1:8" ht="12.75">
      <c r="A29" s="54"/>
      <c r="B29" s="127" t="s">
        <v>113</v>
      </c>
      <c r="C29" s="127" t="s">
        <v>114</v>
      </c>
      <c r="D29" s="127" t="s">
        <v>107</v>
      </c>
      <c r="E29" s="127" t="s">
        <v>939</v>
      </c>
      <c r="F29" s="127" t="s">
        <v>115</v>
      </c>
      <c r="G29" s="127" t="s">
        <v>65</v>
      </c>
      <c r="H29" s="127" t="s">
        <v>116</v>
      </c>
    </row>
    <row r="30" spans="1:8" ht="12.75">
      <c r="A30" s="59" t="str">
        <f>A21</f>
        <v>Danone</v>
      </c>
      <c r="B30" s="380" t="s">
        <v>875</v>
      </c>
      <c r="C30" s="106" t="s">
        <v>121</v>
      </c>
      <c r="D30" s="106" t="s">
        <v>117</v>
      </c>
      <c r="E30" s="255">
        <f>B21/J21</f>
        <v>2.5609756097560976</v>
      </c>
      <c r="F30" s="106" t="s">
        <v>613</v>
      </c>
      <c r="G30" s="266">
        <f>$B$26+L21*$B$27</f>
        <v>0.0725</v>
      </c>
      <c r="H30" s="267">
        <f>D21/J21</f>
        <v>0.10435540069686412</v>
      </c>
    </row>
    <row r="31" spans="1:8" ht="12.75">
      <c r="A31" s="59" t="str">
        <f>A22</f>
        <v>M6</v>
      </c>
      <c r="B31" s="106" t="s">
        <v>117</v>
      </c>
      <c r="C31" s="106" t="s">
        <v>119</v>
      </c>
      <c r="D31" s="106" t="s">
        <v>117</v>
      </c>
      <c r="E31" s="255">
        <f>B22/J22</f>
        <v>10.9</v>
      </c>
      <c r="F31" s="265" t="s">
        <v>615</v>
      </c>
      <c r="G31" s="266">
        <f>$B$26+L22*$B$27</f>
        <v>0.11149999999999999</v>
      </c>
      <c r="H31" s="267">
        <f>D22/J22</f>
        <v>0.3</v>
      </c>
    </row>
    <row r="32" spans="1:8" ht="12.75">
      <c r="A32" s="59" t="str">
        <f>A23</f>
        <v>Thyssen Krupp</v>
      </c>
      <c r="B32" s="106" t="s">
        <v>118</v>
      </c>
      <c r="C32" s="106" t="s">
        <v>117</v>
      </c>
      <c r="D32" s="106" t="s">
        <v>120</v>
      </c>
      <c r="E32" s="255">
        <f>B23/J23</f>
        <v>0.6408396946564885</v>
      </c>
      <c r="F32" s="265" t="s">
        <v>616</v>
      </c>
      <c r="G32" s="266">
        <f>$B$26+L23*$B$27</f>
        <v>0.092</v>
      </c>
      <c r="H32" s="267">
        <f>D23/J23</f>
        <v>0.012977099236641223</v>
      </c>
    </row>
    <row r="34" ht="14.25">
      <c r="A34" s="41" t="s">
        <v>1118</v>
      </c>
    </row>
    <row r="35" ht="14.25">
      <c r="A35" s="41"/>
    </row>
    <row r="36" spans="1:5" ht="12.75">
      <c r="A36" s="54" t="s">
        <v>54</v>
      </c>
      <c r="B36" s="127" t="s">
        <v>523</v>
      </c>
      <c r="C36" s="127" t="s">
        <v>524</v>
      </c>
      <c r="D36" s="127" t="s">
        <v>525</v>
      </c>
      <c r="E36" s="127" t="s">
        <v>526</v>
      </c>
    </row>
    <row r="37" spans="1:5" ht="12.75">
      <c r="A37" s="59" t="s">
        <v>122</v>
      </c>
      <c r="B37" s="106">
        <v>10</v>
      </c>
      <c r="C37" s="106">
        <v>25</v>
      </c>
      <c r="D37" s="106">
        <v>7</v>
      </c>
      <c r="E37" s="106">
        <v>50</v>
      </c>
    </row>
    <row r="38" spans="1:5" ht="12.75">
      <c r="A38" s="59" t="s">
        <v>123</v>
      </c>
      <c r="B38" s="253">
        <v>0.95</v>
      </c>
      <c r="C38" s="253">
        <v>0.2</v>
      </c>
      <c r="D38" s="253">
        <v>0.2</v>
      </c>
      <c r="E38" s="269" t="s">
        <v>125</v>
      </c>
    </row>
    <row r="39" spans="1:5" ht="12.75">
      <c r="A39" s="59" t="s">
        <v>937</v>
      </c>
      <c r="B39" s="269" t="s">
        <v>121</v>
      </c>
      <c r="C39" s="253">
        <v>0.3</v>
      </c>
      <c r="D39" s="253">
        <v>0.05</v>
      </c>
      <c r="E39" s="253">
        <v>0.3</v>
      </c>
    </row>
    <row r="40" spans="1:5" ht="12.75">
      <c r="A40" s="59" t="s">
        <v>124</v>
      </c>
      <c r="B40" s="270">
        <v>0.15</v>
      </c>
      <c r="C40" s="270">
        <v>0.2</v>
      </c>
      <c r="D40" s="270">
        <v>0.25</v>
      </c>
      <c r="E40" s="270">
        <v>8</v>
      </c>
    </row>
    <row r="41" spans="1:5" ht="12.75">
      <c r="A41" s="268" t="s">
        <v>116</v>
      </c>
      <c r="B41" s="253">
        <v>0.1</v>
      </c>
      <c r="C41" s="253">
        <v>0.3</v>
      </c>
      <c r="D41" s="271">
        <f>D42/D37</f>
        <v>0.05714285714285715</v>
      </c>
      <c r="E41" s="253">
        <v>0.9</v>
      </c>
    </row>
    <row r="42" spans="1:5" ht="12.75">
      <c r="A42" s="59" t="s">
        <v>939</v>
      </c>
      <c r="B42" s="106">
        <v>1</v>
      </c>
      <c r="C42" s="269">
        <f>C37*C41</f>
        <v>7.5</v>
      </c>
      <c r="D42" s="106">
        <v>0.4</v>
      </c>
      <c r="E42" s="106">
        <v>45</v>
      </c>
    </row>
    <row r="44" spans="1:5" ht="12.75">
      <c r="A44" t="s">
        <v>939</v>
      </c>
      <c r="B44">
        <f>B37*B41</f>
        <v>1</v>
      </c>
      <c r="C44">
        <f>C37*C41</f>
        <v>7.5</v>
      </c>
      <c r="D44">
        <f>D37*D41</f>
        <v>0.4</v>
      </c>
      <c r="E44">
        <f>E37*E41</f>
        <v>45</v>
      </c>
    </row>
    <row r="45" spans="1:5" ht="12.75">
      <c r="A45" t="s">
        <v>116</v>
      </c>
      <c r="B45" s="84">
        <f>B42/B37</f>
        <v>0.1</v>
      </c>
      <c r="C45" s="84">
        <f>C42/C37</f>
        <v>0.3</v>
      </c>
      <c r="D45" s="84">
        <f>D42/D37</f>
        <v>0.05714285714285715</v>
      </c>
      <c r="E45" s="84">
        <f>E42/E37</f>
        <v>0.9</v>
      </c>
    </row>
  </sheetData>
  <mergeCells count="1">
    <mergeCell ref="C19:E19"/>
  </mergeCells>
  <printOptions/>
  <pageMargins left="0.7874015748031497" right="0.7874015748031497" top="0.984251968503937" bottom="0.984251968503937" header="0.5118110236220472" footer="0.5118110236220472"/>
  <pageSetup fitToHeight="3" fitToWidth="1" horizontalDpi="200" verticalDpi="200" orientation="landscape" paperSize="9" scale="88" r:id="rId2"/>
  <headerFooter alignWithMargins="0">
    <oddFooter>&amp;L&amp;"Verdana,Italique"&amp;9&amp;F - &amp;A&amp;C&amp;P / &amp;N&amp;R&amp;"Verdana,Italique"&amp;9&amp;D - &amp;T</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D43"/>
  <sheetViews>
    <sheetView showGridLines="0" zoomScale="75" zoomScaleNormal="75" workbookViewId="0" topLeftCell="A1">
      <selection activeCell="A1" sqref="A1"/>
    </sheetView>
  </sheetViews>
  <sheetFormatPr defaultColWidth="11.00390625" defaultRowHeight="12.75"/>
  <cols>
    <col min="1" max="1" width="18.125" style="0" customWidth="1"/>
  </cols>
  <sheetData>
    <row r="1" ht="14.25">
      <c r="A1" s="20" t="s">
        <v>18</v>
      </c>
    </row>
    <row r="2" ht="14.25">
      <c r="A2" s="20"/>
    </row>
    <row r="3" spans="1:3" ht="12.75">
      <c r="A3" t="s">
        <v>126</v>
      </c>
      <c r="B3" t="s">
        <v>954</v>
      </c>
      <c r="C3" t="s">
        <v>953</v>
      </c>
    </row>
    <row r="4" spans="1:4" ht="12.75">
      <c r="A4" t="s">
        <v>127</v>
      </c>
      <c r="B4">
        <v>3</v>
      </c>
      <c r="C4">
        <v>6</v>
      </c>
      <c r="D4" t="s">
        <v>402</v>
      </c>
    </row>
    <row r="5" spans="1:4" ht="12.75">
      <c r="A5" t="s">
        <v>128</v>
      </c>
      <c r="B5">
        <v>31</v>
      </c>
      <c r="C5">
        <v>35</v>
      </c>
      <c r="D5" t="s">
        <v>931</v>
      </c>
    </row>
    <row r="6" spans="1:4" ht="12.75">
      <c r="A6" t="s">
        <v>129</v>
      </c>
      <c r="B6">
        <v>32</v>
      </c>
      <c r="C6">
        <f>B6</f>
        <v>32</v>
      </c>
      <c r="D6" t="s">
        <v>931</v>
      </c>
    </row>
    <row r="7" spans="1:3" ht="14.25">
      <c r="A7" t="s">
        <v>623</v>
      </c>
      <c r="B7" s="47">
        <v>0.03</v>
      </c>
      <c r="C7" s="47">
        <f>B7</f>
        <v>0.03</v>
      </c>
    </row>
    <row r="8" ht="12.75">
      <c r="B8" s="47"/>
    </row>
    <row r="9" spans="1:3" ht="12.75">
      <c r="A9" s="118" t="s">
        <v>131</v>
      </c>
      <c r="B9" s="47"/>
      <c r="C9" s="118"/>
    </row>
    <row r="10" spans="1:3" ht="12.75">
      <c r="A10" t="s">
        <v>945</v>
      </c>
      <c r="B10">
        <f>B4/12</f>
        <v>0.25</v>
      </c>
      <c r="C10">
        <f>C4/12</f>
        <v>0.5</v>
      </c>
    </row>
    <row r="11" spans="1:3" ht="12.75">
      <c r="A11" t="s">
        <v>948</v>
      </c>
      <c r="B11" s="67">
        <f>LN(B6/B5)</f>
        <v>0.03174869831458027</v>
      </c>
      <c r="C11" s="67">
        <f>LN(C6/C5)</f>
        <v>-0.08961215868968717</v>
      </c>
    </row>
    <row r="12" spans="1:3" ht="14.25">
      <c r="A12" t="s">
        <v>624</v>
      </c>
      <c r="B12" s="87">
        <f>(B7+B21*B21/2)*B10</f>
        <v>0.024909630158208174</v>
      </c>
      <c r="C12" s="87">
        <f>(C7+C21*C21/2)*C10</f>
        <v>0.04981926031641635</v>
      </c>
    </row>
    <row r="13" spans="1:3" ht="12.75">
      <c r="A13" t="s">
        <v>950</v>
      </c>
      <c r="B13" s="87">
        <f>B21*SQRT(B10)</f>
        <v>0.18659919698759786</v>
      </c>
      <c r="C13" s="87">
        <f>C21*SQRT(C10)</f>
        <v>0.2638911151077897</v>
      </c>
    </row>
    <row r="15" spans="1:3" ht="12.75">
      <c r="A15" t="s">
        <v>946</v>
      </c>
      <c r="B15" s="25">
        <f>(B11+B12)/B13</f>
        <v>0.30363650748483223</v>
      </c>
      <c r="C15" s="25">
        <f>(C11+C12)/C13</f>
        <v>-0.15079286908548212</v>
      </c>
    </row>
    <row r="16" spans="1:3" ht="12.75">
      <c r="A16" t="s">
        <v>947</v>
      </c>
      <c r="B16" s="47">
        <f>B15-B13</f>
        <v>0.11703731049723437</v>
      </c>
      <c r="C16" s="47">
        <f>C15-C13</f>
        <v>-0.4146839841932718</v>
      </c>
    </row>
    <row r="17" spans="1:3" ht="12.75">
      <c r="A17" t="s">
        <v>944</v>
      </c>
      <c r="B17" s="6">
        <f>NORMDIST(B15,0,1,TRUE)</f>
        <v>0.6192975825236782</v>
      </c>
      <c r="C17" s="6">
        <f>NORMDIST(C15,0,1,TRUE)</f>
        <v>0.4400695557944013</v>
      </c>
    </row>
    <row r="18" spans="1:3" ht="12.75">
      <c r="A18" t="s">
        <v>943</v>
      </c>
      <c r="B18" s="6">
        <f>NORMDIST(B16,0,1,TRUE)</f>
        <v>0.5465847564309316</v>
      </c>
      <c r="C18" s="6">
        <f>NORMDIST(C16,0,1,TRUE)</f>
        <v>0.3391866291325032</v>
      </c>
    </row>
    <row r="19" spans="1:3" ht="12.75">
      <c r="A19" t="s">
        <v>951</v>
      </c>
      <c r="B19" s="6">
        <f>EXP(-B10*B7)</f>
        <v>0.9925280548191384</v>
      </c>
      <c r="C19" s="6">
        <f>EXP(-C10*C7)</f>
        <v>0.9851119396030626</v>
      </c>
    </row>
    <row r="20" spans="1:3" ht="12.75">
      <c r="A20" s="1" t="s">
        <v>130</v>
      </c>
      <c r="B20" s="139">
        <f>B17*B6-B18*B5*B19</f>
        <v>3.0000007828379616</v>
      </c>
      <c r="C20" s="273">
        <f>C17*C6-C18*C5*C19</f>
        <v>2.38743785149577</v>
      </c>
    </row>
    <row r="21" spans="1:4" ht="12.75">
      <c r="A21" s="1" t="s">
        <v>952</v>
      </c>
      <c r="B21" s="272">
        <v>0.3731983939751957</v>
      </c>
      <c r="C21" s="140">
        <v>0.3731983939751957</v>
      </c>
      <c r="D21" s="47"/>
    </row>
    <row r="23" ht="14.25">
      <c r="A23" s="41" t="s">
        <v>550</v>
      </c>
    </row>
    <row r="24" ht="14.25">
      <c r="A24" s="41"/>
    </row>
    <row r="25" spans="1:3" ht="31.5">
      <c r="A25" s="3" t="s">
        <v>132</v>
      </c>
      <c r="B25" s="64" t="s">
        <v>133</v>
      </c>
      <c r="C25" s="64" t="s">
        <v>134</v>
      </c>
    </row>
    <row r="26" spans="1:4" ht="12.75">
      <c r="A26" t="s">
        <v>127</v>
      </c>
      <c r="B26">
        <v>6</v>
      </c>
      <c r="C26">
        <v>6</v>
      </c>
      <c r="D26" t="s">
        <v>402</v>
      </c>
    </row>
    <row r="27" spans="1:4" ht="12.75">
      <c r="A27" t="s">
        <v>128</v>
      </c>
      <c r="B27">
        <v>35</v>
      </c>
      <c r="C27">
        <v>35</v>
      </c>
      <c r="D27" t="s">
        <v>931</v>
      </c>
    </row>
    <row r="28" spans="1:4" ht="12.75">
      <c r="A28" t="s">
        <v>129</v>
      </c>
      <c r="B28">
        <v>40</v>
      </c>
      <c r="C28">
        <v>25</v>
      </c>
      <c r="D28" t="s">
        <v>931</v>
      </c>
    </row>
    <row r="29" spans="1:3" ht="14.25">
      <c r="A29" t="s">
        <v>623</v>
      </c>
      <c r="B29" s="47">
        <v>0.03</v>
      </c>
      <c r="C29" s="47">
        <f>B29</f>
        <v>0.03</v>
      </c>
    </row>
    <row r="30" ht="12.75">
      <c r="B30" s="47"/>
    </row>
    <row r="31" spans="1:3" ht="12.75">
      <c r="A31" s="118" t="s">
        <v>131</v>
      </c>
      <c r="B31" s="47"/>
      <c r="C31" s="118"/>
    </row>
    <row r="32" spans="1:3" ht="12.75">
      <c r="A32" t="s">
        <v>945</v>
      </c>
      <c r="B32">
        <f>B26/12</f>
        <v>0.5</v>
      </c>
      <c r="C32">
        <f>C26/12</f>
        <v>0.5</v>
      </c>
    </row>
    <row r="33" spans="1:3" ht="12.75">
      <c r="A33" t="s">
        <v>948</v>
      </c>
      <c r="B33" s="67">
        <f>LN(B28/B27)</f>
        <v>0.13353139262452257</v>
      </c>
      <c r="C33" s="67">
        <f>LN(C28/C27)</f>
        <v>-0.3364722366212129</v>
      </c>
    </row>
    <row r="34" spans="1:3" ht="12.75">
      <c r="A34" t="s">
        <v>949</v>
      </c>
      <c r="B34" s="87">
        <f>(B29+B43*B43/2)*B32</f>
        <v>0.04981926031641635</v>
      </c>
      <c r="C34" s="87">
        <f>(C29+C43*C43/2)*C32</f>
        <v>0.04981926031641635</v>
      </c>
    </row>
    <row r="35" spans="1:3" ht="12.75">
      <c r="A35" t="s">
        <v>950</v>
      </c>
      <c r="B35" s="87">
        <f>B43*SQRT(B32)</f>
        <v>0.2638911151077897</v>
      </c>
      <c r="C35" s="87">
        <f>C43*SQRT(C32)</f>
        <v>0.2638911151077897</v>
      </c>
    </row>
    <row r="37" spans="1:3" ht="12.75">
      <c r="A37" t="s">
        <v>946</v>
      </c>
      <c r="B37" s="25">
        <f>(B33+B34)/B35</f>
        <v>0.6947966128607513</v>
      </c>
      <c r="C37" s="25">
        <f>(C33+C34)/C35</f>
        <v>-1.0862547463475967</v>
      </c>
    </row>
    <row r="38" spans="1:3" ht="12.75">
      <c r="A38" t="s">
        <v>947</v>
      </c>
      <c r="B38" s="47">
        <f>B37-B35</f>
        <v>0.43090549775296166</v>
      </c>
      <c r="C38" s="47">
        <f>C37-C35</f>
        <v>-1.3501458614553863</v>
      </c>
    </row>
    <row r="39" spans="1:3" ht="12.75">
      <c r="A39" t="s">
        <v>944</v>
      </c>
      <c r="B39" s="6">
        <f>NORMDIST(B37,0,1,TRUE)</f>
        <v>0.7564086144095612</v>
      </c>
      <c r="C39" s="6">
        <f>NORMDIST(C37,0,1,TRUE)</f>
        <v>0.13868315112490037</v>
      </c>
    </row>
    <row r="40" spans="1:3" ht="12.75">
      <c r="A40" t="s">
        <v>943</v>
      </c>
      <c r="B40" s="6">
        <f>NORMDIST(B38,0,1,TRUE)</f>
        <v>0.6667314570987951</v>
      </c>
      <c r="C40" s="6">
        <f>NORMDIST(C38,0,1,TRUE)</f>
        <v>0.08848459999505387</v>
      </c>
    </row>
    <row r="41" spans="1:3" ht="12.75">
      <c r="A41" t="s">
        <v>951</v>
      </c>
      <c r="B41" s="6">
        <f>EXP(-B32*B29)</f>
        <v>0.9851119396030626</v>
      </c>
      <c r="C41" s="6">
        <f>EXP(-C32*C29)</f>
        <v>0.9851119396030626</v>
      </c>
    </row>
    <row r="42" spans="1:3" ht="12.75">
      <c r="A42" s="1" t="s">
        <v>130</v>
      </c>
      <c r="B42" s="273">
        <f>B39*B28-B40*B27*B41</f>
        <v>7.268165414988491</v>
      </c>
      <c r="C42" s="273">
        <f>C39*C28-C40*C27*C41</f>
        <v>0.41622552070800634</v>
      </c>
    </row>
    <row r="43" spans="1:4" ht="12.75">
      <c r="A43" s="66" t="s">
        <v>952</v>
      </c>
      <c r="B43" s="140">
        <v>0.3731983939751957</v>
      </c>
      <c r="C43" s="140">
        <v>0.3731983939751957</v>
      </c>
      <c r="D43" s="47"/>
    </row>
  </sheetData>
  <printOptions/>
  <pageMargins left="0.7874015748031497" right="0.7874015748031497" top="0.984251968503937" bottom="0.984251968503937" header="0.5118110236220472" footer="0.5118110236220472"/>
  <pageSetup fitToHeight="2"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25.xml><?xml version="1.0" encoding="utf-8"?>
<worksheet xmlns="http://schemas.openxmlformats.org/spreadsheetml/2006/main" xmlns:r="http://schemas.openxmlformats.org/officeDocument/2006/relationships">
  <dimension ref="A1:D23"/>
  <sheetViews>
    <sheetView showGridLines="0" zoomScale="75" zoomScaleNormal="75" workbookViewId="0" topLeftCell="A1">
      <selection activeCell="A1" sqref="A1"/>
    </sheetView>
  </sheetViews>
  <sheetFormatPr defaultColWidth="11.00390625" defaultRowHeight="12.75"/>
  <cols>
    <col min="1" max="1" width="19.50390625" style="235" customWidth="1"/>
    <col min="2" max="2" width="14.375" style="0" bestFit="1" customWidth="1"/>
    <col min="3" max="3" width="14.50390625" style="0" bestFit="1" customWidth="1"/>
    <col min="4" max="4" width="14.375" style="0" bestFit="1" customWidth="1"/>
  </cols>
  <sheetData>
    <row r="1" spans="1:2" ht="14.25">
      <c r="A1" s="102" t="s">
        <v>489</v>
      </c>
      <c r="B1" s="204"/>
    </row>
    <row r="2" spans="1:4" ht="56.25">
      <c r="A2" s="360"/>
      <c r="B2" s="206" t="s">
        <v>146</v>
      </c>
      <c r="C2" s="206" t="s">
        <v>147</v>
      </c>
      <c r="D2" s="206" t="s">
        <v>148</v>
      </c>
    </row>
    <row r="3" spans="1:4" ht="12.75">
      <c r="A3" s="209" t="s">
        <v>315</v>
      </c>
      <c r="B3" s="204">
        <f>B4*B5</f>
        <v>4000000000</v>
      </c>
      <c r="C3" s="205">
        <f>B3</f>
        <v>4000000000</v>
      </c>
      <c r="D3" s="204">
        <f>C3</f>
        <v>4000000000</v>
      </c>
    </row>
    <row r="4" spans="1:4" ht="12.75">
      <c r="A4" s="361" t="s">
        <v>590</v>
      </c>
      <c r="B4" s="205">
        <v>2000000</v>
      </c>
      <c r="C4" s="205">
        <f aca="true" t="shared" si="0" ref="C4:D9">B4</f>
        <v>2000000</v>
      </c>
      <c r="D4" s="204">
        <f>C4</f>
        <v>2000000</v>
      </c>
    </row>
    <row r="5" spans="1:4" ht="12.75">
      <c r="A5" s="361" t="s">
        <v>135</v>
      </c>
      <c r="B5" s="205">
        <v>2000</v>
      </c>
      <c r="C5" s="205">
        <f t="shared" si="0"/>
        <v>2000</v>
      </c>
      <c r="D5" s="204">
        <f t="shared" si="0"/>
        <v>2000</v>
      </c>
    </row>
    <row r="6" spans="1:4" ht="12.75">
      <c r="A6" s="209" t="s">
        <v>295</v>
      </c>
      <c r="B6" s="204">
        <f>B7*B8</f>
        <v>500000000</v>
      </c>
      <c r="C6" s="205">
        <f t="shared" si="0"/>
        <v>500000000</v>
      </c>
      <c r="D6" s="204">
        <f t="shared" si="0"/>
        <v>500000000</v>
      </c>
    </row>
    <row r="7" spans="1:4" ht="12.75">
      <c r="A7" s="361" t="s">
        <v>136</v>
      </c>
      <c r="B7" s="205">
        <v>500000</v>
      </c>
      <c r="C7" s="205">
        <f t="shared" si="0"/>
        <v>500000</v>
      </c>
      <c r="D7" s="204">
        <f t="shared" si="0"/>
        <v>500000</v>
      </c>
    </row>
    <row r="8" spans="1:4" ht="12.75">
      <c r="A8" s="361" t="s">
        <v>137</v>
      </c>
      <c r="B8" s="205">
        <v>1000</v>
      </c>
      <c r="C8" s="205">
        <f t="shared" si="0"/>
        <v>1000</v>
      </c>
      <c r="D8" s="204">
        <f t="shared" si="0"/>
        <v>1000</v>
      </c>
    </row>
    <row r="9" spans="1:4" ht="12.75">
      <c r="A9" s="361" t="s">
        <v>138</v>
      </c>
      <c r="B9" s="67">
        <v>0.05</v>
      </c>
      <c r="C9" s="67">
        <f t="shared" si="0"/>
        <v>0.05</v>
      </c>
      <c r="D9" s="67">
        <f t="shared" si="0"/>
        <v>0.05</v>
      </c>
    </row>
    <row r="10" spans="1:4" ht="12.75">
      <c r="A10" s="361" t="s">
        <v>144</v>
      </c>
      <c r="B10" s="67"/>
      <c r="C10" s="205">
        <v>2100</v>
      </c>
      <c r="D10" s="204">
        <f>C10</f>
        <v>2100</v>
      </c>
    </row>
    <row r="11" spans="1:4" ht="12.75">
      <c r="A11" s="361" t="s">
        <v>143</v>
      </c>
      <c r="B11" s="67"/>
      <c r="C11" s="67">
        <v>0.08</v>
      </c>
      <c r="D11" s="67">
        <f>C11</f>
        <v>0.08</v>
      </c>
    </row>
    <row r="12" spans="1:2" ht="12.75">
      <c r="A12" s="362"/>
      <c r="B12" s="204"/>
    </row>
    <row r="13" spans="1:4" ht="12.75">
      <c r="A13" s="209" t="s">
        <v>142</v>
      </c>
      <c r="B13" s="204">
        <v>300000000</v>
      </c>
      <c r="C13" s="204">
        <f>B13</f>
        <v>300000000</v>
      </c>
      <c r="D13" s="204">
        <f>C13</f>
        <v>300000000</v>
      </c>
    </row>
    <row r="14" spans="1:4" ht="12.75">
      <c r="A14" s="209" t="s">
        <v>232</v>
      </c>
      <c r="B14" s="67">
        <v>0.367</v>
      </c>
      <c r="C14" s="87">
        <f>B14</f>
        <v>0.367</v>
      </c>
      <c r="D14" s="87">
        <f>C14</f>
        <v>0.367</v>
      </c>
    </row>
    <row r="15" spans="1:2" ht="12.75">
      <c r="A15" s="362"/>
      <c r="B15" s="204"/>
    </row>
    <row r="16" spans="1:4" ht="12.75">
      <c r="A16" s="363" t="s">
        <v>139</v>
      </c>
      <c r="B16" s="208">
        <f>(B13+B9*B8*B7*(1-B14))/(B4+B7)</f>
        <v>126.33</v>
      </c>
      <c r="C16" s="232">
        <f>(C13+C10*C7*C11*(1-C14))/(C4+C7)</f>
        <v>141.2688</v>
      </c>
      <c r="D16" s="208">
        <f>(D13)/(D4+D7*(1-D10/D5))</f>
        <v>151.8987341772152</v>
      </c>
    </row>
    <row r="17" spans="1:2" ht="12.75">
      <c r="A17" s="362"/>
      <c r="B17" s="204"/>
    </row>
    <row r="18" spans="1:2" ht="12.75">
      <c r="A18" s="209" t="s">
        <v>145</v>
      </c>
      <c r="B18" s="204"/>
    </row>
    <row r="19" spans="1:4" ht="12.75">
      <c r="A19" s="209" t="s">
        <v>138</v>
      </c>
      <c r="B19" s="204"/>
      <c r="C19" s="87">
        <v>0.08</v>
      </c>
      <c r="D19" s="87">
        <f>C19</f>
        <v>0.08</v>
      </c>
    </row>
    <row r="20" spans="1:2" ht="12.75">
      <c r="A20" s="362"/>
      <c r="B20" s="204"/>
    </row>
    <row r="21" spans="1:4" ht="12.75">
      <c r="A21" s="209" t="s">
        <v>140</v>
      </c>
      <c r="B21" s="204"/>
      <c r="C21" s="204">
        <f>(C19-C9)*C8*C7*(1-C14)</f>
        <v>9495000</v>
      </c>
      <c r="D21" s="204">
        <f>(D19-D9)*D8*D7*(1-D14)</f>
        <v>9495000</v>
      </c>
    </row>
    <row r="22" spans="1:4" ht="12.75">
      <c r="A22" s="209" t="s">
        <v>141</v>
      </c>
      <c r="B22" s="204"/>
      <c r="C22" s="208">
        <f>C21/(C4+C7)</f>
        <v>3.798</v>
      </c>
      <c r="D22" s="208">
        <f>D21/(D4+D7*(1-D10/D5))</f>
        <v>4.807594936708861</v>
      </c>
    </row>
    <row r="23" spans="1:4" ht="12.75">
      <c r="A23" s="363" t="s">
        <v>100</v>
      </c>
      <c r="B23" s="204"/>
      <c r="C23" s="208">
        <f>C16+C22</f>
        <v>145.0668</v>
      </c>
      <c r="D23" s="208">
        <f>D16+D22</f>
        <v>156.70632911392406</v>
      </c>
    </row>
  </sheetData>
  <printOptions/>
  <pageMargins left="0.75" right="0.75" top="1" bottom="1" header="0.4921259845" footer="0.4921259845"/>
  <pageSetup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A1:C47"/>
  <sheetViews>
    <sheetView showGridLines="0" zoomScale="75" zoomScaleNormal="75" workbookViewId="0" topLeftCell="A1">
      <selection activeCell="A1" sqref="A1"/>
    </sheetView>
  </sheetViews>
  <sheetFormatPr defaultColWidth="11.00390625" defaultRowHeight="12.75"/>
  <cols>
    <col min="1" max="1" width="25.25390625" style="0" customWidth="1"/>
    <col min="2" max="2" width="18.00390625" style="0" customWidth="1"/>
  </cols>
  <sheetData>
    <row r="1" ht="14.25">
      <c r="A1" s="41" t="s">
        <v>149</v>
      </c>
    </row>
    <row r="2" ht="14.25">
      <c r="A2" s="41"/>
    </row>
    <row r="3" spans="1:2" ht="12.75">
      <c r="A3" t="s">
        <v>150</v>
      </c>
      <c r="B3" s="50">
        <v>100</v>
      </c>
    </row>
    <row r="4" spans="1:3" ht="12.75">
      <c r="A4" t="s">
        <v>151</v>
      </c>
      <c r="B4" s="50">
        <v>6127395</v>
      </c>
      <c r="C4" s="101"/>
    </row>
    <row r="5" spans="1:3" ht="12.75">
      <c r="A5" t="s">
        <v>152</v>
      </c>
      <c r="B5" s="50">
        <v>125.7</v>
      </c>
      <c r="C5" s="101"/>
    </row>
    <row r="6" spans="1:2" ht="12.75">
      <c r="A6" t="s">
        <v>153</v>
      </c>
      <c r="B6" s="50">
        <v>1225479</v>
      </c>
    </row>
    <row r="7" spans="1:2" ht="12.75">
      <c r="A7" t="s">
        <v>154</v>
      </c>
      <c r="B7" s="23">
        <v>99</v>
      </c>
    </row>
    <row r="8" ht="12.75">
      <c r="B8" s="23"/>
    </row>
    <row r="9" spans="1:2" ht="12.75">
      <c r="A9" t="s">
        <v>521</v>
      </c>
      <c r="B9" s="23"/>
    </row>
    <row r="10" spans="1:2" ht="12.75">
      <c r="A10" t="s">
        <v>155</v>
      </c>
      <c r="B10" s="23">
        <f>B4/B6</f>
        <v>5</v>
      </c>
    </row>
    <row r="11" ht="12.75">
      <c r="B11" s="23"/>
    </row>
    <row r="12" spans="1:3" ht="12.75">
      <c r="A12" s="275" t="s">
        <v>159</v>
      </c>
      <c r="B12" s="276">
        <f>B5</f>
        <v>125.7</v>
      </c>
      <c r="C12" s="277" t="s">
        <v>168</v>
      </c>
    </row>
    <row r="13" spans="1:3" ht="12.75">
      <c r="A13" s="279" t="s">
        <v>625</v>
      </c>
      <c r="B13" s="391" t="s">
        <v>625</v>
      </c>
      <c r="C13" s="392"/>
    </row>
    <row r="14" spans="1:3" ht="12.75">
      <c r="A14" s="61" t="s">
        <v>160</v>
      </c>
      <c r="B14" s="38">
        <f>B7</f>
        <v>99</v>
      </c>
      <c r="C14" s="278" t="s">
        <v>169</v>
      </c>
    </row>
    <row r="15" spans="2:3" ht="12.75">
      <c r="B15" s="23"/>
      <c r="C15" s="30"/>
    </row>
    <row r="16" spans="1:2" ht="12.75">
      <c r="A16" t="s">
        <v>161</v>
      </c>
      <c r="B16" s="23">
        <f>(B5-B7)/(1+B10)</f>
        <v>4.45</v>
      </c>
    </row>
    <row r="17" ht="12.75">
      <c r="B17" s="23"/>
    </row>
    <row r="18" spans="1:2" ht="12.75">
      <c r="A18" t="s">
        <v>522</v>
      </c>
      <c r="B18" s="23"/>
    </row>
    <row r="19" spans="1:2" ht="12.75">
      <c r="A19" t="s">
        <v>156</v>
      </c>
      <c r="B19" s="23">
        <f>B5*B4+B7*B6</f>
        <v>891535972.5</v>
      </c>
    </row>
    <row r="20" spans="1:2" ht="12.75">
      <c r="A20" t="s">
        <v>157</v>
      </c>
      <c r="B20" s="23">
        <f>B4+B6</f>
        <v>7352874</v>
      </c>
    </row>
    <row r="21" spans="1:2" ht="12.75">
      <c r="A21" t="s">
        <v>158</v>
      </c>
      <c r="B21" s="23">
        <f>B19/B20</f>
        <v>121.25</v>
      </c>
    </row>
    <row r="22" ht="12.75">
      <c r="B22" s="23"/>
    </row>
    <row r="23" spans="1:2" ht="12.75">
      <c r="A23" t="s">
        <v>617</v>
      </c>
      <c r="B23" s="23"/>
    </row>
    <row r="24" ht="12.75">
      <c r="A24" s="382" t="s">
        <v>445</v>
      </c>
    </row>
    <row r="26" spans="1:3" ht="12.75">
      <c r="A26" s="106" t="s">
        <v>590</v>
      </c>
      <c r="B26" s="106" t="s">
        <v>216</v>
      </c>
      <c r="C26" s="106" t="s">
        <v>1246</v>
      </c>
    </row>
    <row r="27" spans="1:3" ht="12.75">
      <c r="A27" s="106">
        <v>28</v>
      </c>
      <c r="B27" s="274">
        <f>B5</f>
        <v>125.7</v>
      </c>
      <c r="C27" s="282">
        <f>A27*B27</f>
        <v>3519.6</v>
      </c>
    </row>
    <row r="29" ht="12.75">
      <c r="A29" s="31" t="s">
        <v>166</v>
      </c>
    </row>
    <row r="30" ht="12.75">
      <c r="A30" s="31"/>
    </row>
    <row r="31" ht="12.75">
      <c r="A31" s="281" t="s">
        <v>165</v>
      </c>
    </row>
    <row r="32" spans="1:3" ht="12.75">
      <c r="A32" s="106" t="s">
        <v>161</v>
      </c>
      <c r="B32" s="106" t="s">
        <v>216</v>
      </c>
      <c r="C32" s="106"/>
    </row>
    <row r="33" spans="1:3" ht="12.75">
      <c r="A33" s="106">
        <v>23</v>
      </c>
      <c r="B33" s="274">
        <f>B16</f>
        <v>4.45</v>
      </c>
      <c r="C33" s="106">
        <f>A33*B33</f>
        <v>102.35000000000001</v>
      </c>
    </row>
    <row r="35" ht="12.75">
      <c r="A35" s="281" t="s">
        <v>164</v>
      </c>
    </row>
    <row r="36" spans="1:3" ht="12.75">
      <c r="A36" s="106" t="s">
        <v>924</v>
      </c>
      <c r="B36" s="106" t="s">
        <v>216</v>
      </c>
      <c r="C36" s="106"/>
    </row>
    <row r="37" spans="1:3" ht="12.75">
      <c r="A37" s="106">
        <v>1</v>
      </c>
      <c r="B37" s="274">
        <f>B7</f>
        <v>99</v>
      </c>
      <c r="C37" s="106">
        <f>-A37*B37</f>
        <v>-99</v>
      </c>
    </row>
    <row r="39" ht="12.75">
      <c r="A39" s="382" t="s">
        <v>446</v>
      </c>
    </row>
    <row r="41" ht="12.75">
      <c r="A41" s="283" t="s">
        <v>163</v>
      </c>
    </row>
    <row r="42" spans="1:3" ht="12.75">
      <c r="A42" s="106" t="s">
        <v>162</v>
      </c>
      <c r="B42" s="106" t="s">
        <v>216</v>
      </c>
      <c r="C42" s="106" t="s">
        <v>1246</v>
      </c>
    </row>
    <row r="43" spans="1:3" ht="12.75">
      <c r="A43" s="106">
        <v>29</v>
      </c>
      <c r="B43" s="274">
        <f>B21</f>
        <v>121.25</v>
      </c>
      <c r="C43" s="255">
        <f>A43*B43</f>
        <v>3516.25</v>
      </c>
    </row>
    <row r="44" spans="1:3" ht="12.75">
      <c r="A44" s="106"/>
      <c r="B44" s="274"/>
      <c r="C44" s="106"/>
    </row>
    <row r="45" spans="1:3" ht="12.75">
      <c r="A45" s="283" t="s">
        <v>167</v>
      </c>
      <c r="B45" s="106"/>
      <c r="C45" s="255">
        <f>C33+C37</f>
        <v>3.3500000000000085</v>
      </c>
    </row>
    <row r="46" ht="12.75">
      <c r="C46" s="127"/>
    </row>
    <row r="47" spans="1:3" ht="12.75">
      <c r="A47" s="1" t="s">
        <v>1095</v>
      </c>
      <c r="B47" s="1"/>
      <c r="C47" s="282">
        <f>C43+C45</f>
        <v>3519.6</v>
      </c>
    </row>
  </sheetData>
  <mergeCells count="1">
    <mergeCell ref="B13:C13"/>
  </mergeCells>
  <printOptions/>
  <pageMargins left="0.7874015748031497" right="0.7874015748031497" top="0.984251968503937" bottom="0.984251968503937" header="0.5118110236220472" footer="0.5118110236220472"/>
  <pageSetup fitToHeight="3"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D39"/>
  <sheetViews>
    <sheetView showGridLines="0" zoomScale="75" zoomScaleNormal="75" workbookViewId="0" topLeftCell="A1">
      <selection activeCell="A1" sqref="A1"/>
    </sheetView>
  </sheetViews>
  <sheetFormatPr defaultColWidth="11.00390625" defaultRowHeight="12.75"/>
  <cols>
    <col min="1" max="1" width="20.75390625" style="0" bestFit="1" customWidth="1"/>
    <col min="3" max="3" width="11.75390625" style="0" bestFit="1" customWidth="1"/>
    <col min="4" max="4" width="9.375" style="0" bestFit="1" customWidth="1"/>
  </cols>
  <sheetData>
    <row r="1" ht="14.25">
      <c r="A1" s="41" t="s">
        <v>287</v>
      </c>
    </row>
    <row r="2" ht="14.25">
      <c r="A2" s="41"/>
    </row>
    <row r="3" spans="1:3" ht="12.75">
      <c r="A3" s="33" t="s">
        <v>955</v>
      </c>
      <c r="B3" s="53" t="s">
        <v>523</v>
      </c>
      <c r="C3" s="53" t="s">
        <v>524</v>
      </c>
    </row>
    <row r="4" spans="1:3" ht="12.75">
      <c r="A4" s="3" t="s">
        <v>1112</v>
      </c>
      <c r="B4" s="63">
        <v>1000</v>
      </c>
      <c r="C4" s="63">
        <v>1000</v>
      </c>
    </row>
    <row r="5" spans="1:3" ht="12.75">
      <c r="A5" s="3" t="s">
        <v>50</v>
      </c>
      <c r="B5" s="393">
        <v>0.15</v>
      </c>
      <c r="C5" s="393"/>
    </row>
    <row r="6" spans="1:3" ht="12.75">
      <c r="A6" s="3" t="s">
        <v>170</v>
      </c>
      <c r="B6" s="63">
        <v>50</v>
      </c>
      <c r="C6" s="63">
        <v>300</v>
      </c>
    </row>
    <row r="7" spans="1:3" ht="12.75">
      <c r="A7" t="s">
        <v>107</v>
      </c>
      <c r="B7" s="63">
        <v>50</v>
      </c>
      <c r="C7" s="63"/>
    </row>
    <row r="8" ht="12.75">
      <c r="A8" t="s">
        <v>521</v>
      </c>
    </row>
    <row r="9" spans="1:3" ht="12.75">
      <c r="A9" s="2" t="s">
        <v>1251</v>
      </c>
      <c r="B9" s="65">
        <f>B6/$B$5</f>
        <v>333.33333333333337</v>
      </c>
      <c r="C9" s="65">
        <f>C6/$B$5</f>
        <v>2000</v>
      </c>
    </row>
    <row r="10" spans="1:3" ht="12.75">
      <c r="A10" s="2"/>
      <c r="B10" s="65"/>
      <c r="C10" s="65"/>
    </row>
    <row r="11" ht="12.75">
      <c r="A11" t="s">
        <v>522</v>
      </c>
    </row>
    <row r="12" spans="1:3" ht="12.75">
      <c r="A12" t="s">
        <v>171</v>
      </c>
      <c r="B12" s="63">
        <v>0</v>
      </c>
      <c r="C12" s="63">
        <f>$B$6+$C$6-B$7-B12</f>
        <v>300</v>
      </c>
    </row>
    <row r="13" spans="1:3" ht="12.75">
      <c r="A13" t="s">
        <v>172</v>
      </c>
      <c r="B13" s="25">
        <f>B$6/B$4</f>
        <v>0.05</v>
      </c>
      <c r="C13" s="25">
        <f>C$6/C$4</f>
        <v>0.3</v>
      </c>
    </row>
    <row r="14" spans="1:3" ht="12.75">
      <c r="A14" t="s">
        <v>173</v>
      </c>
      <c r="B14" s="63">
        <f>B$4*B13</f>
        <v>50</v>
      </c>
      <c r="C14" s="63">
        <f>C$4*C13</f>
        <v>300</v>
      </c>
    </row>
    <row r="15" spans="1:3" ht="25.5">
      <c r="A15" s="3" t="s">
        <v>174</v>
      </c>
      <c r="B15" s="63">
        <f>B12*B13</f>
        <v>0</v>
      </c>
      <c r="C15" s="63">
        <f>C12*C13</f>
        <v>90</v>
      </c>
    </row>
    <row r="16" spans="1:3" ht="12.75">
      <c r="A16" s="3" t="s">
        <v>1095</v>
      </c>
      <c r="B16" s="63">
        <f>B14+B15</f>
        <v>50</v>
      </c>
      <c r="C16" s="63">
        <f>C14+C15</f>
        <v>390</v>
      </c>
    </row>
    <row r="17" spans="1:3" ht="12.75">
      <c r="A17" s="3" t="s">
        <v>175</v>
      </c>
      <c r="B17" s="63">
        <f>B16/B$5</f>
        <v>333.33333333333337</v>
      </c>
      <c r="C17" s="63">
        <f>C16/B$5</f>
        <v>2600</v>
      </c>
    </row>
    <row r="18" spans="1:3" ht="12.75">
      <c r="A18" s="3" t="s">
        <v>176</v>
      </c>
      <c r="B18" s="63">
        <f>B$9+B12</f>
        <v>333.33333333333337</v>
      </c>
      <c r="C18" s="63">
        <f>C$9+C12</f>
        <v>2300</v>
      </c>
    </row>
    <row r="19" spans="1:4" ht="12.75">
      <c r="A19" s="1" t="s">
        <v>115</v>
      </c>
      <c r="B19" s="63">
        <f>B17-B18</f>
        <v>0</v>
      </c>
      <c r="C19" s="63">
        <f>C17-C18</f>
        <v>300</v>
      </c>
      <c r="D19" s="92">
        <f>SUM(B19:C19)</f>
        <v>300</v>
      </c>
    </row>
    <row r="20" spans="1:4" ht="12.75">
      <c r="A20" s="1"/>
      <c r="B20" s="63"/>
      <c r="C20" s="63"/>
      <c r="D20" s="143"/>
    </row>
    <row r="21" ht="12.75">
      <c r="A21" s="3" t="s">
        <v>617</v>
      </c>
    </row>
    <row r="22" spans="1:3" ht="12.75">
      <c r="A22" t="s">
        <v>171</v>
      </c>
      <c r="B22" s="63">
        <v>300</v>
      </c>
      <c r="C22" s="63">
        <f>$B$6+$C$6-B$7-B22</f>
        <v>0</v>
      </c>
    </row>
    <row r="23" spans="1:3" ht="12.75">
      <c r="A23" t="s">
        <v>172</v>
      </c>
      <c r="B23" s="25">
        <f>B$6/B$4</f>
        <v>0.05</v>
      </c>
      <c r="C23" s="25">
        <f>C$6/C$4</f>
        <v>0.3</v>
      </c>
    </row>
    <row r="24" spans="1:3" ht="12.75">
      <c r="A24" t="s">
        <v>173</v>
      </c>
      <c r="B24" s="63">
        <f>B$4*B23</f>
        <v>50</v>
      </c>
      <c r="C24" s="63">
        <f>C$4*C23</f>
        <v>300</v>
      </c>
    </row>
    <row r="25" spans="1:3" ht="25.5">
      <c r="A25" s="3" t="s">
        <v>174</v>
      </c>
      <c r="B25" s="63">
        <f>B22*B23</f>
        <v>15</v>
      </c>
      <c r="C25" s="63">
        <f>C22*C23</f>
        <v>0</v>
      </c>
    </row>
    <row r="26" spans="1:3" ht="12.75">
      <c r="A26" s="3" t="s">
        <v>1095</v>
      </c>
      <c r="B26" s="63">
        <f>B24+B25</f>
        <v>65</v>
      </c>
      <c r="C26" s="63">
        <f>C24+C25</f>
        <v>300</v>
      </c>
    </row>
    <row r="27" spans="1:3" ht="12.75">
      <c r="A27" s="3" t="s">
        <v>175</v>
      </c>
      <c r="B27" s="63">
        <f>B26/B$5</f>
        <v>433.33333333333337</v>
      </c>
      <c r="C27" s="63">
        <f>C26/B$5</f>
        <v>2000</v>
      </c>
    </row>
    <row r="28" spans="1:3" ht="12.75">
      <c r="A28" s="3" t="s">
        <v>177</v>
      </c>
      <c r="B28" s="63">
        <f>B$9+B22</f>
        <v>633.3333333333334</v>
      </c>
      <c r="C28" s="63">
        <f>C$9+C22</f>
        <v>2000</v>
      </c>
    </row>
    <row r="29" spans="1:4" ht="12.75">
      <c r="A29" s="1" t="s">
        <v>115</v>
      </c>
      <c r="B29" s="63">
        <f>B27-B28</f>
        <v>-200</v>
      </c>
      <c r="C29" s="63">
        <f>C27-C28</f>
        <v>0</v>
      </c>
      <c r="D29" s="92">
        <f>SUM(B29:C29)</f>
        <v>-200</v>
      </c>
    </row>
    <row r="30" spans="1:4" ht="12.75">
      <c r="A30" s="1"/>
      <c r="B30" s="63"/>
      <c r="C30" s="63"/>
      <c r="D30" s="92"/>
    </row>
    <row r="31" ht="12.75">
      <c r="A31" s="3" t="s">
        <v>618</v>
      </c>
    </row>
    <row r="32" spans="1:3" ht="12.75">
      <c r="A32" t="s">
        <v>171</v>
      </c>
      <c r="B32" s="63">
        <v>150</v>
      </c>
      <c r="C32" s="63">
        <f>$B$6+$C$6-B$7-B32</f>
        <v>150</v>
      </c>
    </row>
    <row r="33" spans="1:3" ht="12.75">
      <c r="A33" t="s">
        <v>172</v>
      </c>
      <c r="B33" s="25">
        <f>B$6/B$4</f>
        <v>0.05</v>
      </c>
      <c r="C33" s="25">
        <f>C$6/C$4</f>
        <v>0.3</v>
      </c>
    </row>
    <row r="34" spans="1:3" ht="12.75">
      <c r="A34" t="s">
        <v>173</v>
      </c>
      <c r="B34" s="63">
        <f>B$4*B33</f>
        <v>50</v>
      </c>
      <c r="C34" s="63">
        <f>C$4*C33</f>
        <v>300</v>
      </c>
    </row>
    <row r="35" spans="1:3" ht="25.5">
      <c r="A35" s="3" t="s">
        <v>174</v>
      </c>
      <c r="B35" s="63">
        <f>B32*B33</f>
        <v>7.5</v>
      </c>
      <c r="C35" s="63">
        <f>C32*C33</f>
        <v>45</v>
      </c>
    </row>
    <row r="36" spans="1:3" ht="12.75">
      <c r="A36" s="3" t="s">
        <v>1095</v>
      </c>
      <c r="B36" s="63">
        <f>B34+B35</f>
        <v>57.5</v>
      </c>
      <c r="C36" s="63">
        <f>C34+C35</f>
        <v>345</v>
      </c>
    </row>
    <row r="37" spans="1:3" ht="12.75">
      <c r="A37" s="3" t="s">
        <v>175</v>
      </c>
      <c r="B37" s="63">
        <f>B36/B$5</f>
        <v>383.33333333333337</v>
      </c>
      <c r="C37" s="63">
        <f>C36/B$5</f>
        <v>2300</v>
      </c>
    </row>
    <row r="38" spans="1:3" ht="12.75">
      <c r="A38" s="3" t="s">
        <v>177</v>
      </c>
      <c r="B38" s="63">
        <f>B$9+B32</f>
        <v>483.33333333333337</v>
      </c>
      <c r="C38" s="63">
        <f>C$9+C32</f>
        <v>2150</v>
      </c>
    </row>
    <row r="39" spans="1:4" ht="12.75">
      <c r="A39" s="1" t="s">
        <v>115</v>
      </c>
      <c r="B39" s="63">
        <f>B37-B38</f>
        <v>-100</v>
      </c>
      <c r="C39" s="63">
        <f>C37-C38</f>
        <v>150</v>
      </c>
      <c r="D39" s="92">
        <f>SUM(B39:C39)</f>
        <v>50</v>
      </c>
    </row>
  </sheetData>
  <mergeCells count="1">
    <mergeCell ref="B5:C5"/>
  </mergeCells>
  <printOptions/>
  <pageMargins left="0.7874015748031497" right="0.7874015748031497" top="0.984251968503937" bottom="0.984251968503937" header="0.5118110236220472" footer="0.5118110236220472"/>
  <pageSetup fitToHeight="3"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F131"/>
  <sheetViews>
    <sheetView showGridLines="0" zoomScale="75" zoomScaleNormal="75" workbookViewId="0" topLeftCell="A1">
      <selection activeCell="A1" sqref="A1"/>
    </sheetView>
  </sheetViews>
  <sheetFormatPr defaultColWidth="11.00390625" defaultRowHeight="12.75"/>
  <cols>
    <col min="1" max="1" width="24.25390625" style="0" customWidth="1"/>
    <col min="5" max="5" width="12.375" style="0" bestFit="1" customWidth="1"/>
  </cols>
  <sheetData>
    <row r="1" ht="14.25">
      <c r="A1" s="41" t="s">
        <v>370</v>
      </c>
    </row>
    <row r="2" spans="1:2" ht="12.75">
      <c r="A2" t="s">
        <v>988</v>
      </c>
      <c r="B2" s="47">
        <v>0.6</v>
      </c>
    </row>
    <row r="3" spans="1:2" ht="12.75">
      <c r="A3" t="s">
        <v>65</v>
      </c>
      <c r="B3" s="87">
        <v>0.09</v>
      </c>
    </row>
    <row r="4" spans="1:2" ht="12.75">
      <c r="A4" t="s">
        <v>956</v>
      </c>
      <c r="B4" s="47">
        <f>1-B2</f>
        <v>0.4</v>
      </c>
    </row>
    <row r="5" spans="1:2" ht="12.75">
      <c r="A5" t="s">
        <v>957</v>
      </c>
      <c r="B5" s="87">
        <v>0.05</v>
      </c>
    </row>
    <row r="7" spans="1:2" ht="12.75">
      <c r="A7" s="1" t="s">
        <v>958</v>
      </c>
      <c r="B7" s="136">
        <f>B2*B3+B4*B5</f>
        <v>0.07400000000000001</v>
      </c>
    </row>
    <row r="9" ht="14.25">
      <c r="A9" s="41" t="s">
        <v>1108</v>
      </c>
    </row>
    <row r="10" spans="1:3" ht="12.75">
      <c r="A10" t="s">
        <v>351</v>
      </c>
      <c r="B10" s="4" t="s">
        <v>524</v>
      </c>
      <c r="C10" s="4" t="s">
        <v>525</v>
      </c>
    </row>
    <row r="11" spans="1:3" ht="12.75">
      <c r="A11" t="s">
        <v>1116</v>
      </c>
      <c r="B11" s="63">
        <v>10000</v>
      </c>
      <c r="C11" s="63">
        <v>10000</v>
      </c>
    </row>
    <row r="12" spans="1:3" ht="12.75">
      <c r="A12" s="22" t="s">
        <v>989</v>
      </c>
      <c r="B12" s="146"/>
      <c r="C12" s="146">
        <v>24000</v>
      </c>
    </row>
    <row r="13" spans="1:3" ht="12.75">
      <c r="A13" s="22" t="s">
        <v>957</v>
      </c>
      <c r="B13" s="394">
        <v>0.05</v>
      </c>
      <c r="C13" s="394"/>
    </row>
    <row r="14" spans="1:3" ht="12.75">
      <c r="A14" t="s">
        <v>379</v>
      </c>
      <c r="B14" s="63">
        <f>B12*B13</f>
        <v>0</v>
      </c>
      <c r="C14" s="63">
        <f>C12*B13</f>
        <v>1200</v>
      </c>
    </row>
    <row r="15" spans="1:3" ht="12.75">
      <c r="A15" t="s">
        <v>266</v>
      </c>
      <c r="B15" s="63">
        <f>B11-B14</f>
        <v>10000</v>
      </c>
      <c r="C15" s="63">
        <f>C11-C14</f>
        <v>8800</v>
      </c>
    </row>
    <row r="16" spans="1:3" ht="14.25">
      <c r="A16" t="s">
        <v>990</v>
      </c>
      <c r="B16" s="87">
        <v>0.08</v>
      </c>
      <c r="C16" s="87">
        <v>0.11</v>
      </c>
    </row>
    <row r="17" spans="1:6" ht="14.25">
      <c r="A17" t="s">
        <v>991</v>
      </c>
      <c r="B17" s="63">
        <v>125000</v>
      </c>
      <c r="C17" s="63">
        <v>80000</v>
      </c>
      <c r="E17">
        <v>1.5</v>
      </c>
      <c r="F17" s="87">
        <f>1-C21</f>
        <v>0.7692307692307692</v>
      </c>
    </row>
    <row r="18" spans="1:6" ht="14.25">
      <c r="A18" t="s">
        <v>775</v>
      </c>
      <c r="B18" s="63">
        <f>B12</f>
        <v>0</v>
      </c>
      <c r="C18" s="63">
        <f>C12</f>
        <v>24000</v>
      </c>
      <c r="D18" s="47">
        <f>C18/C17</f>
        <v>0.3</v>
      </c>
      <c r="E18">
        <v>0.3</v>
      </c>
      <c r="F18" s="87">
        <f>1-F17</f>
        <v>0.23076923076923084</v>
      </c>
    </row>
    <row r="19" spans="1:5" ht="12.75">
      <c r="A19" t="s">
        <v>938</v>
      </c>
      <c r="B19" s="63">
        <f>B17+B18</f>
        <v>125000</v>
      </c>
      <c r="C19" s="63">
        <f>C17+C18</f>
        <v>104000</v>
      </c>
      <c r="E19" s="75">
        <f>E17*F17+E18*F18</f>
        <v>1.223076923076923</v>
      </c>
    </row>
    <row r="20" spans="1:3" ht="12.75">
      <c r="A20" t="s">
        <v>958</v>
      </c>
      <c r="B20" s="67">
        <f>B16*B17/B19+B13*B18/B19</f>
        <v>0.08</v>
      </c>
      <c r="C20" s="84">
        <f>C16*C17/C19+B13*C18/C19</f>
        <v>0.09615384615384616</v>
      </c>
    </row>
    <row r="21" spans="1:3" ht="14.25">
      <c r="A21" t="s">
        <v>992</v>
      </c>
      <c r="B21" s="67">
        <f>B18/B19</f>
        <v>0</v>
      </c>
      <c r="C21" s="67">
        <f>C18/C19</f>
        <v>0.23076923076923078</v>
      </c>
    </row>
    <row r="22" spans="1:3" ht="12.75">
      <c r="A22" t="s">
        <v>107</v>
      </c>
      <c r="B22" s="87">
        <v>1</v>
      </c>
      <c r="C22" s="87">
        <v>1</v>
      </c>
    </row>
    <row r="24" ht="12.75">
      <c r="A24" s="118" t="s">
        <v>996</v>
      </c>
    </row>
    <row r="25" spans="1:5" ht="12.75">
      <c r="A25" s="55" t="s">
        <v>1000</v>
      </c>
      <c r="B25" s="150">
        <v>0.01</v>
      </c>
      <c r="C25" s="150">
        <f>C26/C$17</f>
        <v>0.0126953125</v>
      </c>
      <c r="E25" s="78" t="s">
        <v>997</v>
      </c>
    </row>
    <row r="26" spans="1:5" ht="12.75">
      <c r="A26" s="55" t="s">
        <v>995</v>
      </c>
      <c r="B26" s="63">
        <f>B$17*B25</f>
        <v>1250</v>
      </c>
      <c r="C26" s="231">
        <f>B26/(1+C$21)</f>
        <v>1015.625</v>
      </c>
      <c r="D26" s="25">
        <f>C26/B$26</f>
        <v>0.8125</v>
      </c>
      <c r="E26" s="146">
        <f>C26*C21</f>
        <v>234.375</v>
      </c>
    </row>
    <row r="27" spans="1:3" ht="12.75">
      <c r="A27" s="33" t="s">
        <v>1210</v>
      </c>
      <c r="B27" s="149">
        <f>B$15*B25</f>
        <v>100</v>
      </c>
      <c r="C27" s="149">
        <f>C$15*C25</f>
        <v>111.71875</v>
      </c>
    </row>
    <row r="28" ht="12.75">
      <c r="A28" t="s">
        <v>1294</v>
      </c>
    </row>
    <row r="29" spans="1:4" ht="12.75">
      <c r="A29" s="22" t="s">
        <v>993</v>
      </c>
      <c r="B29" s="146">
        <f>B26*B21</f>
        <v>0</v>
      </c>
      <c r="C29" s="146">
        <f>B26-C26</f>
        <v>234.375</v>
      </c>
      <c r="D29" s="25">
        <f>C29/B$26</f>
        <v>0.1875</v>
      </c>
    </row>
    <row r="30" spans="1:3" ht="12.75">
      <c r="A30" s="147" t="s">
        <v>776</v>
      </c>
      <c r="B30" s="148">
        <f>B13</f>
        <v>0.05</v>
      </c>
      <c r="C30" s="148">
        <f>B$13</f>
        <v>0.05</v>
      </c>
    </row>
    <row r="31" spans="1:3" ht="12.75">
      <c r="A31" s="1" t="s">
        <v>994</v>
      </c>
      <c r="B31" s="63">
        <f>B27+B29*B30</f>
        <v>100</v>
      </c>
      <c r="C31" s="231">
        <f>C27+C29*C30</f>
        <v>123.4375</v>
      </c>
    </row>
    <row r="32" spans="1:3" ht="12.75">
      <c r="A32" t="s">
        <v>958</v>
      </c>
      <c r="B32" s="67">
        <f>B31/B$26</f>
        <v>0.08</v>
      </c>
      <c r="C32" s="67">
        <f>C31/C$26</f>
        <v>0.12153846153846154</v>
      </c>
    </row>
    <row r="34" ht="12.75">
      <c r="A34" s="118" t="s">
        <v>960</v>
      </c>
    </row>
    <row r="35" ht="12.75">
      <c r="A35" s="118"/>
    </row>
    <row r="36" spans="1:2" ht="12.75">
      <c r="A36" s="66" t="s">
        <v>998</v>
      </c>
      <c r="B36" s="63">
        <f>B26</f>
        <v>1250</v>
      </c>
    </row>
    <row r="37" spans="1:3" ht="12.75">
      <c r="A37" s="66" t="s">
        <v>999</v>
      </c>
      <c r="C37" s="63">
        <f>B36</f>
        <v>1250</v>
      </c>
    </row>
    <row r="38" spans="1:3" ht="12.75">
      <c r="A38" s="66"/>
      <c r="C38" s="63"/>
    </row>
    <row r="39" spans="1:2" ht="12.75">
      <c r="A39" s="284" t="s">
        <v>1011</v>
      </c>
      <c r="B39" s="87"/>
    </row>
    <row r="40" spans="1:2" ht="12.75">
      <c r="A40" s="284"/>
      <c r="B40" s="87"/>
    </row>
    <row r="41" spans="1:2" ht="12.75">
      <c r="A41" s="285" t="s">
        <v>1001</v>
      </c>
      <c r="B41" s="87"/>
    </row>
    <row r="42" spans="1:3" ht="12.75">
      <c r="A42" s="66" t="s">
        <v>1002</v>
      </c>
      <c r="C42" s="87">
        <f>C21</f>
        <v>0.23076923076923078</v>
      </c>
    </row>
    <row r="43" spans="1:3" ht="12.75">
      <c r="A43" s="118"/>
      <c r="C43" s="87"/>
    </row>
    <row r="44" spans="1:6" ht="12.75">
      <c r="A44" s="66" t="s">
        <v>1003</v>
      </c>
      <c r="C44" s="63">
        <f>C37*(1-C42)</f>
        <v>961.5384615384614</v>
      </c>
      <c r="D44" s="47"/>
      <c r="F44" s="75"/>
    </row>
    <row r="45" spans="1:6" ht="12.75">
      <c r="A45" s="66" t="s">
        <v>1004</v>
      </c>
      <c r="C45" s="149">
        <f>C37-C44</f>
        <v>288.46153846153857</v>
      </c>
      <c r="D45" s="47"/>
      <c r="F45" s="75"/>
    </row>
    <row r="46" spans="1:6" ht="12.75">
      <c r="A46" s="66"/>
      <c r="C46" s="286">
        <f>C44+C45</f>
        <v>1250</v>
      </c>
      <c r="E46" s="75"/>
      <c r="F46" s="75"/>
    </row>
    <row r="47" spans="1:3" ht="12.75">
      <c r="A47" s="66"/>
      <c r="C47" s="87"/>
    </row>
    <row r="48" spans="1:3" ht="12.75">
      <c r="A48" s="66" t="s">
        <v>1009</v>
      </c>
      <c r="C48" s="63">
        <f>C44*C16</f>
        <v>105.76923076923076</v>
      </c>
    </row>
    <row r="49" spans="1:3" ht="12.75">
      <c r="A49" s="66" t="s">
        <v>1010</v>
      </c>
      <c r="C49" s="149">
        <f>C45*B13</f>
        <v>14.423076923076929</v>
      </c>
    </row>
    <row r="50" spans="1:3" ht="12.75">
      <c r="A50" s="66"/>
      <c r="C50" s="63">
        <f>C48+C49</f>
        <v>120.1923076923077</v>
      </c>
    </row>
    <row r="51" spans="1:3" ht="12.75">
      <c r="A51" s="66"/>
      <c r="C51" s="87"/>
    </row>
    <row r="52" spans="1:3" ht="12.75">
      <c r="A52" s="66" t="s">
        <v>1005</v>
      </c>
      <c r="C52" s="307">
        <f>C50/C37</f>
        <v>0.09615384615384616</v>
      </c>
    </row>
    <row r="53" spans="1:3" ht="12.75">
      <c r="A53" s="118"/>
      <c r="C53" s="87"/>
    </row>
    <row r="54" spans="1:3" ht="12.75">
      <c r="A54" s="357" t="s">
        <v>1021</v>
      </c>
      <c r="C54" s="87"/>
    </row>
    <row r="55" spans="1:3" ht="12.75">
      <c r="A55" s="118"/>
      <c r="C55" s="87"/>
    </row>
    <row r="56" spans="1:3" ht="12.75">
      <c r="A56" s="118" t="s">
        <v>1006</v>
      </c>
      <c r="C56" s="87"/>
    </row>
    <row r="57" spans="1:3" ht="12.75">
      <c r="A57" s="66" t="s">
        <v>1012</v>
      </c>
      <c r="B57">
        <v>114000</v>
      </c>
      <c r="C57" s="87"/>
    </row>
    <row r="58" spans="1:3" ht="12.75">
      <c r="A58" s="118"/>
      <c r="C58" s="87"/>
    </row>
    <row r="59" spans="1:3" ht="12.75">
      <c r="A59" s="118"/>
      <c r="B59" s="127" t="s">
        <v>524</v>
      </c>
      <c r="C59" s="308" t="s">
        <v>525</v>
      </c>
    </row>
    <row r="60" spans="1:3" ht="12.75">
      <c r="A60" s="66" t="s">
        <v>1020</v>
      </c>
      <c r="B60" s="255">
        <f>B57/B15</f>
        <v>11.4</v>
      </c>
      <c r="C60" s="255">
        <f>(B57-C18)/C15</f>
        <v>10.227272727272727</v>
      </c>
    </row>
    <row r="61" spans="1:3" ht="12.75">
      <c r="A61" s="118"/>
      <c r="C61" s="87"/>
    </row>
    <row r="62" spans="1:3" ht="12.75">
      <c r="A62" s="118"/>
      <c r="C62" s="87"/>
    </row>
    <row r="63" spans="1:5" ht="12.75">
      <c r="A63" s="287"/>
      <c r="B63" s="288"/>
      <c r="C63" s="289"/>
      <c r="D63" s="288"/>
      <c r="E63" s="288"/>
    </row>
    <row r="64" spans="1:5" ht="12.75">
      <c r="A64" s="81" t="s">
        <v>1013</v>
      </c>
      <c r="B64" s="290">
        <v>111400</v>
      </c>
      <c r="C64" s="290">
        <f>B64</f>
        <v>111400</v>
      </c>
      <c r="D64" s="288"/>
      <c r="E64" s="288"/>
    </row>
    <row r="65" spans="1:5" ht="12.75">
      <c r="A65" s="288" t="s">
        <v>959</v>
      </c>
      <c r="B65" s="290">
        <f>B18</f>
        <v>0</v>
      </c>
      <c r="C65" s="290">
        <v>21000</v>
      </c>
      <c r="D65" s="288"/>
      <c r="E65" s="288"/>
    </row>
    <row r="66" spans="1:5" ht="12.75">
      <c r="A66" s="288" t="s">
        <v>1007</v>
      </c>
      <c r="B66" s="290">
        <f>B64-B65</f>
        <v>111400</v>
      </c>
      <c r="C66" s="290">
        <f>C64-C65</f>
        <v>90400</v>
      </c>
      <c r="D66" s="288"/>
      <c r="E66" s="288"/>
    </row>
    <row r="67" spans="1:5" ht="12.75">
      <c r="A67" s="288" t="s">
        <v>1008</v>
      </c>
      <c r="B67" s="202">
        <f>B65/B64</f>
        <v>0</v>
      </c>
      <c r="C67" s="202">
        <f>C65/C64</f>
        <v>0.18850987432675045</v>
      </c>
      <c r="D67" s="288"/>
      <c r="E67" s="288"/>
    </row>
    <row r="68" spans="1:5" ht="12.75">
      <c r="A68" s="291" t="s">
        <v>65</v>
      </c>
      <c r="B68" s="292">
        <f>B15/B66</f>
        <v>0.08976660682226212</v>
      </c>
      <c r="C68" s="292">
        <f>C15/C66</f>
        <v>0.09734513274336283</v>
      </c>
      <c r="D68" s="288"/>
      <c r="E68" s="288"/>
    </row>
    <row r="69" spans="1:5" ht="12.75">
      <c r="A69" s="291" t="s">
        <v>957</v>
      </c>
      <c r="B69" s="292"/>
      <c r="C69" s="292">
        <f>C14/C65</f>
        <v>0.05714285714285714</v>
      </c>
      <c r="D69" s="288"/>
      <c r="E69" s="288"/>
    </row>
    <row r="70" spans="1:5" ht="12.75">
      <c r="A70" s="291" t="s">
        <v>958</v>
      </c>
      <c r="B70" s="292">
        <f>(B68*B66+B69*B65)/(B66+B65)</f>
        <v>0.08976660682226212</v>
      </c>
      <c r="C70" s="292">
        <f>(C68*C66+C69*C65)/(C66+C65)</f>
        <v>0.08976660682226212</v>
      </c>
      <c r="D70" s="288"/>
      <c r="E70" s="288"/>
    </row>
    <row r="71" spans="1:5" ht="12.75">
      <c r="A71" s="288"/>
      <c r="B71" s="290"/>
      <c r="C71" s="290"/>
      <c r="D71" s="288"/>
      <c r="E71" s="288"/>
    </row>
    <row r="72" spans="1:5" ht="12.75">
      <c r="A72" s="288" t="s">
        <v>1014</v>
      </c>
      <c r="B72" s="290">
        <v>1250</v>
      </c>
      <c r="C72" s="290">
        <f>B72</f>
        <v>1250</v>
      </c>
      <c r="D72" s="288"/>
      <c r="E72" s="288"/>
    </row>
    <row r="73" spans="1:5" ht="12.75">
      <c r="A73" s="288"/>
      <c r="B73" s="290"/>
      <c r="C73" s="290"/>
      <c r="D73" s="288"/>
      <c r="E73" s="288"/>
    </row>
    <row r="74" spans="1:5" ht="12.75">
      <c r="A74" s="293" t="s">
        <v>1015</v>
      </c>
      <c r="B74" s="294"/>
      <c r="C74" s="294"/>
      <c r="D74" s="288"/>
      <c r="E74" s="295"/>
    </row>
    <row r="75" spans="1:5" ht="12.75">
      <c r="A75" s="296" t="s">
        <v>1016</v>
      </c>
      <c r="B75" s="297">
        <f>B76/B66</f>
        <v>0.011220825852782765</v>
      </c>
      <c r="C75" s="297">
        <f>C76/C66</f>
        <v>0.011634260620805819</v>
      </c>
      <c r="D75" s="288"/>
      <c r="E75" s="295" t="s">
        <v>997</v>
      </c>
    </row>
    <row r="76" spans="1:5" ht="12.75">
      <c r="A76" s="298" t="s">
        <v>1017</v>
      </c>
      <c r="B76" s="299">
        <f>B72</f>
        <v>1250</v>
      </c>
      <c r="C76" s="299">
        <f>C72*D76</f>
        <v>1051.737160120846</v>
      </c>
      <c r="D76" s="202">
        <f>1/(1+C67)</f>
        <v>0.8413897280966768</v>
      </c>
      <c r="E76" s="299">
        <f>C76*C67</f>
        <v>198.26283987915411</v>
      </c>
    </row>
    <row r="77" spans="1:5" ht="12.75">
      <c r="A77" s="298" t="s">
        <v>1018</v>
      </c>
      <c r="B77" s="300">
        <f>B15*B75</f>
        <v>112.20825852782765</v>
      </c>
      <c r="C77" s="300">
        <f>C15*C75</f>
        <v>102.3814934630912</v>
      </c>
      <c r="D77" s="288"/>
      <c r="E77" s="288"/>
    </row>
    <row r="78" spans="1:5" ht="12.75">
      <c r="A78" s="298" t="s">
        <v>958</v>
      </c>
      <c r="B78" s="301">
        <f>B77/B76</f>
        <v>0.08976660682226212</v>
      </c>
      <c r="C78" s="301">
        <f>C77/C76</f>
        <v>0.09734513274336283</v>
      </c>
      <c r="D78" s="288"/>
      <c r="E78" s="288"/>
    </row>
    <row r="79" spans="1:5" ht="12.75">
      <c r="A79" s="302" t="s">
        <v>1294</v>
      </c>
      <c r="B79" s="302"/>
      <c r="C79" s="302"/>
      <c r="D79" s="288"/>
      <c r="E79" s="288"/>
    </row>
    <row r="80" spans="1:5" ht="12.75">
      <c r="A80" s="291" t="s">
        <v>993</v>
      </c>
      <c r="B80" s="303"/>
      <c r="C80" s="299">
        <f>B76-C76</f>
        <v>198.26283987915394</v>
      </c>
      <c r="D80" s="202">
        <f>C80/B76</f>
        <v>0.15861027190332316</v>
      </c>
      <c r="E80" s="288"/>
    </row>
    <row r="81" spans="1:5" ht="12.75">
      <c r="A81" s="291" t="s">
        <v>1019</v>
      </c>
      <c r="B81" s="303"/>
      <c r="C81" s="299">
        <f>C80*C82</f>
        <v>9.913141993957698</v>
      </c>
      <c r="D81" s="202"/>
      <c r="E81" s="288"/>
    </row>
    <row r="82" spans="1:5" ht="12.75">
      <c r="A82" s="304" t="s">
        <v>958</v>
      </c>
      <c r="B82" s="305">
        <f>+B13</f>
        <v>0.05</v>
      </c>
      <c r="C82" s="305">
        <f>B$13</f>
        <v>0.05</v>
      </c>
      <c r="D82" s="288"/>
      <c r="E82" s="288"/>
    </row>
    <row r="83" spans="1:5" ht="12.75">
      <c r="A83" s="288" t="s">
        <v>994</v>
      </c>
      <c r="B83" s="290">
        <f>B77+B80*B82</f>
        <v>112.20825852782765</v>
      </c>
      <c r="C83" s="290">
        <f>C77+C80*C82</f>
        <v>112.2946354570489</v>
      </c>
      <c r="D83" s="290">
        <f>C83-B83</f>
        <v>0.08637692922124529</v>
      </c>
      <c r="E83" s="288"/>
    </row>
    <row r="84" spans="1:5" ht="12.75">
      <c r="A84" s="288" t="s">
        <v>958</v>
      </c>
      <c r="B84" s="306">
        <f>B83/B76</f>
        <v>0.08976660682226212</v>
      </c>
      <c r="C84" s="306">
        <f>C83/(C76+C80)</f>
        <v>0.08983570836563912</v>
      </c>
      <c r="D84" s="288"/>
      <c r="E84" s="288"/>
    </row>
    <row r="85" spans="1:5" ht="12.75">
      <c r="A85" s="81" t="s">
        <v>122</v>
      </c>
      <c r="B85" s="252">
        <f>B66/B15</f>
        <v>11.14</v>
      </c>
      <c r="C85" s="252">
        <f>C66/C15</f>
        <v>10.272727272727273</v>
      </c>
      <c r="D85" s="288"/>
      <c r="E85" s="288"/>
    </row>
    <row r="87" ht="14.25">
      <c r="A87" s="41" t="s">
        <v>1118</v>
      </c>
    </row>
    <row r="88" ht="14.25">
      <c r="A88" s="41"/>
    </row>
    <row r="89" ht="14.25">
      <c r="A89" s="260" t="s">
        <v>521</v>
      </c>
    </row>
    <row r="90" spans="1:2" ht="12.75">
      <c r="A90" t="s">
        <v>962</v>
      </c>
      <c r="B90" s="67">
        <v>0.08</v>
      </c>
    </row>
    <row r="91" spans="1:2" ht="12.75">
      <c r="A91" s="1" t="s">
        <v>1022</v>
      </c>
      <c r="B91" s="117">
        <f>B90</f>
        <v>0.08</v>
      </c>
    </row>
    <row r="92" spans="1:2" ht="12.75">
      <c r="A92" t="s">
        <v>1023</v>
      </c>
      <c r="B92" s="109">
        <v>100</v>
      </c>
    </row>
    <row r="93" ht="12.75">
      <c r="B93" s="109"/>
    </row>
    <row r="94" ht="12.75">
      <c r="A94" t="s">
        <v>522</v>
      </c>
    </row>
    <row r="95" spans="1:2" ht="12.75">
      <c r="A95" t="s">
        <v>1024</v>
      </c>
      <c r="B95" s="152">
        <f>B92</f>
        <v>100</v>
      </c>
    </row>
    <row r="96" spans="1:2" ht="12.75">
      <c r="A96" t="s">
        <v>963</v>
      </c>
      <c r="B96" s="152">
        <f>B92/3</f>
        <v>33.333333333333336</v>
      </c>
    </row>
    <row r="97" spans="1:2" ht="12.75">
      <c r="A97" t="s">
        <v>961</v>
      </c>
      <c r="B97" s="67">
        <v>0.05</v>
      </c>
    </row>
    <row r="98" spans="1:2" ht="12.75">
      <c r="A98" t="s">
        <v>1025</v>
      </c>
      <c r="B98" s="152">
        <f>B95-B96</f>
        <v>66.66666666666666</v>
      </c>
    </row>
    <row r="99" spans="1:2" ht="12.75">
      <c r="A99" s="1" t="s">
        <v>1026</v>
      </c>
      <c r="B99" s="117">
        <f>(B90-B97*B96/B95)*B95/B98</f>
        <v>0.095</v>
      </c>
    </row>
    <row r="100" spans="1:2" ht="12.75">
      <c r="A100" t="s">
        <v>965</v>
      </c>
      <c r="B100" s="67">
        <f>B97*B96/B95+B99*B98/B95</f>
        <v>0.07999999999999999</v>
      </c>
    </row>
    <row r="101" ht="12.75">
      <c r="B101" s="67"/>
    </row>
    <row r="102" ht="12.75">
      <c r="A102" t="s">
        <v>617</v>
      </c>
    </row>
    <row r="103" spans="1:2" ht="12.75">
      <c r="A103" t="s">
        <v>1027</v>
      </c>
      <c r="B103" s="101">
        <v>1.2</v>
      </c>
    </row>
    <row r="104" spans="1:2" ht="12.75">
      <c r="A104" t="s">
        <v>53</v>
      </c>
      <c r="B104" s="47">
        <v>0.04</v>
      </c>
    </row>
    <row r="105" spans="1:2" ht="12.75">
      <c r="A105" s="1" t="s">
        <v>1028</v>
      </c>
      <c r="B105" s="134">
        <f>(B103*B104+B99-B91)/B104</f>
        <v>1.5750000000000004</v>
      </c>
    </row>
    <row r="107" spans="1:2" ht="12.75">
      <c r="A107" t="s">
        <v>964</v>
      </c>
      <c r="B107" s="101">
        <f>B103</f>
        <v>1.2</v>
      </c>
    </row>
    <row r="108" spans="1:2" ht="12.75">
      <c r="A108" t="s">
        <v>966</v>
      </c>
      <c r="B108" s="101">
        <f>B107</f>
        <v>1.2</v>
      </c>
    </row>
    <row r="109" spans="1:2" ht="12.75">
      <c r="A109" s="1" t="s">
        <v>967</v>
      </c>
      <c r="B109" s="134">
        <f>(B108-B105*B98/B95)*B95/B96</f>
        <v>0.4499999999999997</v>
      </c>
    </row>
    <row r="111" ht="14.25">
      <c r="A111" s="41" t="s">
        <v>495</v>
      </c>
    </row>
    <row r="112" spans="1:2" ht="12.75">
      <c r="A112" t="s">
        <v>777</v>
      </c>
      <c r="B112" s="6">
        <v>1.4</v>
      </c>
    </row>
    <row r="113" spans="1:2" ht="12.75">
      <c r="A113" t="s">
        <v>778</v>
      </c>
      <c r="B113" s="6">
        <v>1.1</v>
      </c>
    </row>
    <row r="114" ht="12.75">
      <c r="B114" s="6"/>
    </row>
    <row r="115" spans="1:2" ht="12.75">
      <c r="A115" t="s">
        <v>1029</v>
      </c>
      <c r="B115" s="87">
        <v>0.055</v>
      </c>
    </row>
    <row r="116" spans="1:2" ht="12.75">
      <c r="A116" t="s">
        <v>53</v>
      </c>
      <c r="B116" s="87">
        <v>0.04</v>
      </c>
    </row>
    <row r="117" ht="12.75">
      <c r="B117" s="6"/>
    </row>
    <row r="118" spans="1:2" ht="12.75">
      <c r="A118" s="1" t="s">
        <v>1030</v>
      </c>
      <c r="B118" s="136">
        <f>B$115+B$116*B112</f>
        <v>0.11099999999999999</v>
      </c>
    </row>
    <row r="119" spans="1:2" ht="12.75">
      <c r="A119" s="1" t="s">
        <v>1031</v>
      </c>
      <c r="B119" s="136">
        <f>B$115+B$116*B113</f>
        <v>0.099</v>
      </c>
    </row>
    <row r="121" spans="1:2" ht="12.75">
      <c r="A121" t="s">
        <v>779</v>
      </c>
      <c r="B121" s="87">
        <v>0.075</v>
      </c>
    </row>
    <row r="122" spans="1:2" ht="12.75">
      <c r="A122" t="s">
        <v>1032</v>
      </c>
      <c r="B122" s="47">
        <v>1.5</v>
      </c>
    </row>
    <row r="123" spans="1:2" ht="12.75">
      <c r="A123" t="s">
        <v>1033</v>
      </c>
      <c r="B123" s="47">
        <f>1/(1+B122)</f>
        <v>0.4</v>
      </c>
    </row>
    <row r="124" spans="1:3" ht="12.75">
      <c r="A124" t="s">
        <v>780</v>
      </c>
      <c r="B124" s="47">
        <f>B122/(B122+1)</f>
        <v>0.6</v>
      </c>
      <c r="C124" s="47"/>
    </row>
    <row r="125" spans="1:2" ht="12.75">
      <c r="A125" t="s">
        <v>781</v>
      </c>
      <c r="B125" s="87">
        <f>B118*B123+B121*B124</f>
        <v>0.0894</v>
      </c>
    </row>
    <row r="126" ht="12.75">
      <c r="B126" s="47"/>
    </row>
    <row r="127" spans="1:3" ht="12.75">
      <c r="A127" t="s">
        <v>782</v>
      </c>
      <c r="B127" s="87">
        <f>B125</f>
        <v>0.0894</v>
      </c>
      <c r="C127" s="131"/>
    </row>
    <row r="128" spans="1:2" ht="12.75">
      <c r="A128" t="s">
        <v>783</v>
      </c>
      <c r="B128" s="87">
        <v>0.07</v>
      </c>
    </row>
    <row r="129" spans="1:2" ht="12.75">
      <c r="A129" t="s">
        <v>1034</v>
      </c>
      <c r="B129" s="47">
        <f>(B127-B128)/(B119-B128)</f>
        <v>0.6689655172413789</v>
      </c>
    </row>
    <row r="130" spans="1:2" ht="12.75">
      <c r="A130" t="s">
        <v>784</v>
      </c>
      <c r="B130" s="47">
        <f>1-B129</f>
        <v>0.33103448275862113</v>
      </c>
    </row>
    <row r="131" spans="1:2" ht="12.75">
      <c r="A131" t="s">
        <v>1032</v>
      </c>
      <c r="B131" s="273">
        <f>B130/B129</f>
        <v>0.49484536082474323</v>
      </c>
    </row>
  </sheetData>
  <mergeCells count="1">
    <mergeCell ref="B13:C13"/>
  </mergeCells>
  <printOptions/>
  <pageMargins left="0.7874015748031497" right="0.7874015748031497" top="0.984251968503937" bottom="0.984251968503937" header="0.5118110236220472" footer="0.5118110236220472"/>
  <pageSetup fitToHeight="4" fitToWidth="1" horizontalDpi="200" verticalDpi="200" orientation="landscape" paperSize="9" scale="88" r:id="rId2"/>
  <headerFooter alignWithMargins="0">
    <oddFooter>&amp;L&amp;"Verdana,Italique"&amp;9&amp;F - &amp;A&amp;C&amp;P / &amp;N&amp;R&amp;"Verdana,Italique"&amp;9&amp;D - &amp;T</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F56"/>
  <sheetViews>
    <sheetView showGridLines="0" zoomScale="75" zoomScaleNormal="75" workbookViewId="0" topLeftCell="A29">
      <selection activeCell="A1" sqref="A1"/>
    </sheetView>
  </sheetViews>
  <sheetFormatPr defaultColWidth="11.00390625" defaultRowHeight="12.75"/>
  <cols>
    <col min="1" max="1" width="21.25390625" style="0" customWidth="1"/>
  </cols>
  <sheetData>
    <row r="1" ht="14.25">
      <c r="A1" s="41" t="s">
        <v>370</v>
      </c>
    </row>
    <row r="2" spans="1:2" ht="12.75">
      <c r="A2" t="s">
        <v>988</v>
      </c>
      <c r="B2" s="47">
        <v>0.7</v>
      </c>
    </row>
    <row r="3" spans="1:2" ht="12.75">
      <c r="A3" t="s">
        <v>65</v>
      </c>
      <c r="B3" s="47">
        <v>0.1</v>
      </c>
    </row>
    <row r="4" spans="1:2" ht="12.75">
      <c r="A4" t="s">
        <v>956</v>
      </c>
      <c r="B4" s="47">
        <f>1-B2</f>
        <v>0.30000000000000004</v>
      </c>
    </row>
    <row r="5" spans="1:2" ht="12.75">
      <c r="A5" t="s">
        <v>957</v>
      </c>
      <c r="B5" s="47">
        <v>0.06</v>
      </c>
    </row>
    <row r="7" spans="1:4" ht="12.75">
      <c r="A7" t="s">
        <v>206</v>
      </c>
      <c r="B7" s="47">
        <v>0.2</v>
      </c>
      <c r="C7" s="47">
        <v>0.5</v>
      </c>
      <c r="D7" s="47">
        <v>0.8</v>
      </c>
    </row>
    <row r="8" spans="1:4" ht="12.75">
      <c r="A8" s="1" t="s">
        <v>958</v>
      </c>
      <c r="B8" s="88">
        <f>$B3*$B2+$B5*$B4*(1-B7)</f>
        <v>0.0844</v>
      </c>
      <c r="C8" s="88">
        <f>$B3*$B2+$B5*$B4*(1-C7)</f>
        <v>0.07899999999999999</v>
      </c>
      <c r="D8" s="88">
        <f>$B3*$B2+$B5*$B4*(1-D7)</f>
        <v>0.0736</v>
      </c>
    </row>
    <row r="10" ht="14.25">
      <c r="A10" s="41" t="s">
        <v>1108</v>
      </c>
    </row>
    <row r="11" spans="1:2" ht="12.75">
      <c r="A11" t="s">
        <v>1035</v>
      </c>
      <c r="B11" s="75">
        <v>200</v>
      </c>
    </row>
    <row r="12" spans="1:2" ht="12.75">
      <c r="A12" t="s">
        <v>232</v>
      </c>
      <c r="B12" s="47">
        <v>0.4</v>
      </c>
    </row>
    <row r="14" spans="1:2" ht="12.75">
      <c r="A14" t="s">
        <v>963</v>
      </c>
      <c r="B14" s="75">
        <v>50</v>
      </c>
    </row>
    <row r="15" spans="1:2" ht="12.75">
      <c r="A15" t="s">
        <v>961</v>
      </c>
      <c r="B15" s="47">
        <v>0.06</v>
      </c>
    </row>
    <row r="16" spans="1:2" ht="12.75">
      <c r="A16" t="s">
        <v>1025</v>
      </c>
      <c r="B16" s="75">
        <f>B11-B14</f>
        <v>150</v>
      </c>
    </row>
    <row r="17" spans="1:2" ht="12.75">
      <c r="A17" t="s">
        <v>1026</v>
      </c>
      <c r="B17" s="47">
        <v>0.11</v>
      </c>
    </row>
    <row r="19" spans="1:2" ht="12.75">
      <c r="A19" t="s">
        <v>1037</v>
      </c>
      <c r="B19" s="75">
        <f>B14*B15*B12/B17</f>
        <v>10.90909090909091</v>
      </c>
    </row>
    <row r="20" ht="12.75">
      <c r="B20" s="75"/>
    </row>
    <row r="21" spans="1:2" ht="12.75">
      <c r="A21" s="1" t="s">
        <v>1036</v>
      </c>
      <c r="B21" s="126">
        <f>B11+B19</f>
        <v>210.9090909090909</v>
      </c>
    </row>
    <row r="23" ht="14.25">
      <c r="A23" s="41" t="s">
        <v>1118</v>
      </c>
    </row>
    <row r="24" spans="1:2" ht="12.75">
      <c r="A24" t="s">
        <v>1007</v>
      </c>
      <c r="B24" s="6">
        <v>40</v>
      </c>
    </row>
    <row r="25" spans="1:2" ht="12.75">
      <c r="A25" t="s">
        <v>959</v>
      </c>
      <c r="B25" s="6">
        <v>30</v>
      </c>
    </row>
    <row r="26" spans="1:2" ht="12.75">
      <c r="A26" t="s">
        <v>957</v>
      </c>
      <c r="B26" s="47">
        <v>0.06</v>
      </c>
    </row>
    <row r="27" spans="1:2" ht="12.75">
      <c r="A27" t="s">
        <v>232</v>
      </c>
      <c r="B27" s="47">
        <v>0.4</v>
      </c>
    </row>
    <row r="28" spans="1:2" ht="12.75">
      <c r="A28" t="s">
        <v>65</v>
      </c>
      <c r="B28" s="47">
        <v>0.11</v>
      </c>
    </row>
    <row r="30" spans="1:2" ht="12.75">
      <c r="A30" s="1" t="s">
        <v>968</v>
      </c>
      <c r="B30" s="126">
        <f>B25*B26*B27/B28</f>
        <v>6.545454545454545</v>
      </c>
    </row>
    <row r="31" spans="1:2" ht="12.75">
      <c r="A31" s="1"/>
      <c r="B31" s="134"/>
    </row>
    <row r="32" spans="1:2" ht="12.75">
      <c r="A32" s="3" t="s">
        <v>1038</v>
      </c>
      <c r="B32" s="75">
        <v>5</v>
      </c>
    </row>
    <row r="33" spans="1:2" ht="12.75">
      <c r="A33" s="2" t="s">
        <v>969</v>
      </c>
      <c r="B33" s="126">
        <f>(B25+B32)*(1+B26*B27/B28)-(B30+B25+B32)</f>
        <v>1.0909090909090935</v>
      </c>
    </row>
    <row r="35" spans="1:2" ht="12.75">
      <c r="A35" t="s">
        <v>1037</v>
      </c>
      <c r="B35" s="75">
        <f>(B25+B32)*B26*B27/B28</f>
        <v>7.636363636363637</v>
      </c>
    </row>
    <row r="36" spans="1:2" ht="25.5">
      <c r="A36" s="3" t="s">
        <v>1039</v>
      </c>
      <c r="B36" s="75">
        <f>B35/POWER(1+B28,4)</f>
        <v>5.030309257107274</v>
      </c>
    </row>
    <row r="37" spans="1:2" ht="12.75">
      <c r="A37" s="2" t="s">
        <v>970</v>
      </c>
      <c r="B37" s="126">
        <f>-B36</f>
        <v>-5.030309257107274</v>
      </c>
    </row>
    <row r="39" spans="1:5" ht="14.25">
      <c r="A39" s="41" t="s">
        <v>495</v>
      </c>
      <c r="B39" s="395" t="s">
        <v>1040</v>
      </c>
      <c r="C39" s="395"/>
      <c r="D39" s="395" t="s">
        <v>1041</v>
      </c>
      <c r="E39" s="395"/>
    </row>
    <row r="40" spans="1:6" ht="12.75">
      <c r="A40" t="s">
        <v>295</v>
      </c>
      <c r="B40">
        <v>0</v>
      </c>
      <c r="C40">
        <v>500</v>
      </c>
      <c r="D40">
        <v>0</v>
      </c>
      <c r="E40">
        <v>500</v>
      </c>
      <c r="F40" s="262"/>
    </row>
    <row r="41" spans="2:6" ht="12.75">
      <c r="B41" s="393">
        <v>0.07</v>
      </c>
      <c r="C41" s="393"/>
      <c r="D41" s="393">
        <v>0.07</v>
      </c>
      <c r="E41" s="393"/>
      <c r="F41" s="55"/>
    </row>
    <row r="42" spans="1:6" ht="12.75">
      <c r="A42" t="s">
        <v>201</v>
      </c>
      <c r="B42" s="75">
        <v>146</v>
      </c>
      <c r="C42" s="75">
        <v>146</v>
      </c>
      <c r="D42" s="75">
        <v>100</v>
      </c>
      <c r="E42" s="75">
        <v>100</v>
      </c>
      <c r="F42" s="55"/>
    </row>
    <row r="43" spans="1:6" ht="12.75">
      <c r="A43" t="s">
        <v>237</v>
      </c>
      <c r="B43" s="75">
        <f>+B41*B40</f>
        <v>0</v>
      </c>
      <c r="C43" s="75">
        <f>+B41*C40</f>
        <v>35</v>
      </c>
      <c r="D43" s="75">
        <f>+D41*D40</f>
        <v>0</v>
      </c>
      <c r="E43" s="75">
        <f>+D41*E40</f>
        <v>35</v>
      </c>
      <c r="F43" s="55"/>
    </row>
    <row r="44" spans="1:6" ht="12.75">
      <c r="A44" t="s">
        <v>1044</v>
      </c>
      <c r="B44" s="75">
        <f>B42-B43</f>
        <v>146</v>
      </c>
      <c r="C44" s="75">
        <f>C42-C43</f>
        <v>111</v>
      </c>
      <c r="D44" s="75">
        <f>D42-D43</f>
        <v>100</v>
      </c>
      <c r="E44" s="75">
        <f>E42-E43</f>
        <v>65</v>
      </c>
      <c r="F44" s="55"/>
    </row>
    <row r="45" spans="1:6" ht="12.75">
      <c r="A45" t="s">
        <v>232</v>
      </c>
      <c r="B45" s="398">
        <v>0.4025</v>
      </c>
      <c r="C45" s="398"/>
      <c r="D45" s="393">
        <v>0.35</v>
      </c>
      <c r="E45" s="393"/>
      <c r="F45" s="55"/>
    </row>
    <row r="46" spans="1:6" ht="12.75">
      <c r="A46" s="48" t="s">
        <v>1098</v>
      </c>
      <c r="B46" s="153">
        <f>B44*B45</f>
        <v>58.765</v>
      </c>
      <c r="C46" s="153">
        <f>C44*B45</f>
        <v>44.6775</v>
      </c>
      <c r="D46" s="153">
        <f>D45*D44</f>
        <v>35</v>
      </c>
      <c r="E46" s="153">
        <f>D45*E44</f>
        <v>22.75</v>
      </c>
      <c r="F46" s="55"/>
    </row>
    <row r="47" spans="1:6" ht="12.75">
      <c r="A47" s="3" t="s">
        <v>266</v>
      </c>
      <c r="B47" s="75">
        <f>B44-B46</f>
        <v>87.235</v>
      </c>
      <c r="C47" s="75">
        <f>C44-C46</f>
        <v>66.32249999999999</v>
      </c>
      <c r="D47" s="75">
        <f>D44-D46</f>
        <v>65</v>
      </c>
      <c r="E47" s="75">
        <f>E44-E46</f>
        <v>42.25</v>
      </c>
      <c r="F47" s="151"/>
    </row>
    <row r="48" spans="2:6" ht="12.75">
      <c r="B48" s="75"/>
      <c r="C48" s="75"/>
      <c r="D48" s="75"/>
      <c r="E48" s="75"/>
      <c r="F48" s="151"/>
    </row>
    <row r="49" spans="1:6" ht="12.75">
      <c r="A49" t="s">
        <v>1045</v>
      </c>
      <c r="F49" s="151"/>
    </row>
    <row r="50" spans="1:6" ht="12.75">
      <c r="A50" t="s">
        <v>590</v>
      </c>
      <c r="B50" s="396">
        <f>12.5%/3+(27%*2/3/1.06/1.06/1.06)</f>
        <v>0.192798137612481</v>
      </c>
      <c r="C50" s="396"/>
      <c r="D50" s="393">
        <v>0.1</v>
      </c>
      <c r="E50" s="393"/>
      <c r="F50" s="151"/>
    </row>
    <row r="51" spans="1:6" ht="12.75">
      <c r="A51" t="s">
        <v>1046</v>
      </c>
      <c r="B51" s="75">
        <f>B50*B47</f>
        <v>16.818745534624778</v>
      </c>
      <c r="C51" s="75">
        <f>C47*B50</f>
        <v>12.786854481803768</v>
      </c>
      <c r="D51" s="75">
        <f>D50*D47</f>
        <v>6.5</v>
      </c>
      <c r="E51" s="75">
        <f>D50*E47</f>
        <v>4.2250000000000005</v>
      </c>
      <c r="F51" s="151"/>
    </row>
    <row r="52" spans="1:6" ht="12.75">
      <c r="A52" t="s">
        <v>138</v>
      </c>
      <c r="B52" s="397">
        <v>0.125</v>
      </c>
      <c r="C52" s="397"/>
      <c r="D52" s="397">
        <v>0.44</v>
      </c>
      <c r="E52" s="397"/>
      <c r="F52" s="151"/>
    </row>
    <row r="53" spans="1:6" ht="12.75">
      <c r="A53" t="s">
        <v>1229</v>
      </c>
      <c r="B53" s="75">
        <f>B52*B43</f>
        <v>0</v>
      </c>
      <c r="C53" s="75">
        <f>B52*C43</f>
        <v>4.375</v>
      </c>
      <c r="D53" s="75">
        <f>D52*D43</f>
        <v>0</v>
      </c>
      <c r="E53" s="141">
        <f>D52*E43</f>
        <v>15.4</v>
      </c>
      <c r="F53" s="151"/>
    </row>
    <row r="54" spans="1:6" ht="12.75">
      <c r="A54" t="s">
        <v>1043</v>
      </c>
      <c r="B54" s="141">
        <f>B43+B47-B51-B53</f>
        <v>70.41625446537522</v>
      </c>
      <c r="C54" s="141">
        <f>C43+C47-C51-C53</f>
        <v>84.16064551819622</v>
      </c>
      <c r="D54" s="141">
        <f>D43+D47-D51-D53</f>
        <v>58.5</v>
      </c>
      <c r="E54" s="141">
        <f>E43+E47-E51-E53</f>
        <v>57.62500000000001</v>
      </c>
      <c r="F54" s="151"/>
    </row>
    <row r="55" spans="1:6" ht="12.75">
      <c r="A55" t="s">
        <v>1042</v>
      </c>
      <c r="B55" s="327">
        <f>B46+B51+B53</f>
        <v>75.58374553462478</v>
      </c>
      <c r="C55" s="327">
        <f>C46+C51+C53</f>
        <v>61.83935448180377</v>
      </c>
      <c r="D55" s="327">
        <f>D46+D51+D53</f>
        <v>41.5</v>
      </c>
      <c r="E55" s="141">
        <f>E46+E51+E53</f>
        <v>42.375</v>
      </c>
      <c r="F55" s="151"/>
    </row>
    <row r="56" ht="12.75">
      <c r="F56" s="55"/>
    </row>
  </sheetData>
  <mergeCells count="10">
    <mergeCell ref="B52:C52"/>
    <mergeCell ref="D52:E52"/>
    <mergeCell ref="B41:C41"/>
    <mergeCell ref="D41:E41"/>
    <mergeCell ref="B45:C45"/>
    <mergeCell ref="D45:E45"/>
    <mergeCell ref="B39:C39"/>
    <mergeCell ref="D39:E39"/>
    <mergeCell ref="B50:C50"/>
    <mergeCell ref="D50:E50"/>
  </mergeCells>
  <printOptions/>
  <pageMargins left="0.7874015748031497" right="0.7874015748031497" top="0.984251968503937" bottom="0.984251968503937" header="0.5118110236220472" footer="0.5118110236220472"/>
  <pageSetup fitToHeight="3"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Z20"/>
  <sheetViews>
    <sheetView showGridLines="0" zoomScale="75" zoomScaleNormal="75" workbookViewId="0" topLeftCell="A1">
      <selection activeCell="A1" sqref="A1"/>
    </sheetView>
  </sheetViews>
  <sheetFormatPr defaultColWidth="11.00390625" defaultRowHeight="12.75"/>
  <cols>
    <col min="1" max="1" width="52.75390625" style="0" bestFit="1" customWidth="1"/>
    <col min="2" max="2" width="8.00390625" style="0" bestFit="1" customWidth="1"/>
    <col min="3" max="5" width="9.50390625" style="0" bestFit="1" customWidth="1"/>
  </cols>
  <sheetData>
    <row r="1" ht="14.25">
      <c r="A1" s="41" t="s">
        <v>245</v>
      </c>
    </row>
    <row r="2" spans="1:5" ht="12.75">
      <c r="A2" s="2" t="s">
        <v>28</v>
      </c>
      <c r="B2" s="4" t="s">
        <v>247</v>
      </c>
      <c r="C2" s="4" t="s">
        <v>248</v>
      </c>
      <c r="D2" s="4" t="s">
        <v>249</v>
      </c>
      <c r="E2" s="4" t="s">
        <v>250</v>
      </c>
    </row>
    <row r="3" spans="1:5" ht="12.75">
      <c r="A3" s="32" t="s">
        <v>246</v>
      </c>
      <c r="B3" s="38">
        <v>0</v>
      </c>
      <c r="C3" s="38">
        <f>-'Chapter 2'!C20-' Chapter 3'!B75</f>
        <v>24</v>
      </c>
      <c r="D3" s="38">
        <f>C3-' Chapter 3'!C75</f>
        <v>18</v>
      </c>
      <c r="E3" s="38">
        <f>D3-'[3] Chapitre 3'!D75</f>
        <v>12</v>
      </c>
    </row>
    <row r="4" spans="1:5" ht="12.75">
      <c r="A4" s="3" t="s">
        <v>251</v>
      </c>
      <c r="B4" s="23">
        <f>B5+B6</f>
        <v>0</v>
      </c>
      <c r="C4" s="23">
        <f>C5+C6</f>
        <v>14</v>
      </c>
      <c r="D4" s="23">
        <f>D5+D6</f>
        <v>14</v>
      </c>
      <c r="E4" s="23">
        <f>E5+E6</f>
        <v>14</v>
      </c>
    </row>
    <row r="5" spans="1:78" s="13" customFormat="1" ht="10.5">
      <c r="A5" s="10" t="s">
        <v>213</v>
      </c>
      <c r="B5" s="42">
        <v>0</v>
      </c>
      <c r="C5" s="12">
        <f>' Chapter 3'!B69</f>
        <v>10</v>
      </c>
      <c r="D5" s="12">
        <f>C5</f>
        <v>10</v>
      </c>
      <c r="E5" s="12">
        <f>D5</f>
        <v>10</v>
      </c>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13" customFormat="1" ht="10.5">
      <c r="A6" s="10" t="s">
        <v>198</v>
      </c>
      <c r="B6" s="42">
        <v>0</v>
      </c>
      <c r="C6" s="12">
        <v>4</v>
      </c>
      <c r="D6" s="12">
        <v>4</v>
      </c>
      <c r="E6" s="12">
        <v>4</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row>
    <row r="7" spans="1:5" ht="12.75">
      <c r="A7" s="34" t="s">
        <v>252</v>
      </c>
      <c r="B7" s="23">
        <v>0</v>
      </c>
      <c r="C7" s="23">
        <v>36</v>
      </c>
      <c r="D7" s="23">
        <f>C7</f>
        <v>36</v>
      </c>
      <c r="E7" s="23">
        <f>D7</f>
        <v>36</v>
      </c>
    </row>
    <row r="8" spans="1:5" ht="12.75">
      <c r="A8" s="34" t="s">
        <v>253</v>
      </c>
      <c r="B8" s="23">
        <v>0</v>
      </c>
      <c r="C8" s="23">
        <f>52-'Chapter 2'!C30+'Chapter 2'!D17</f>
        <v>14</v>
      </c>
      <c r="D8" s="23">
        <f>C8</f>
        <v>14</v>
      </c>
      <c r="E8" s="23">
        <f>D8</f>
        <v>14</v>
      </c>
    </row>
    <row r="9" spans="1:5" ht="12.75">
      <c r="A9" s="35" t="s">
        <v>255</v>
      </c>
      <c r="B9" s="23">
        <f>B4-B7+B8</f>
        <v>0</v>
      </c>
      <c r="C9" s="23">
        <f>C4+C7-C8</f>
        <v>36</v>
      </c>
      <c r="D9" s="23">
        <f>D4+D7-D8</f>
        <v>36</v>
      </c>
      <c r="E9" s="23">
        <f>E4+E7-E8</f>
        <v>36</v>
      </c>
    </row>
    <row r="10" spans="1:5" ht="12.75">
      <c r="A10" s="34" t="s">
        <v>256</v>
      </c>
      <c r="B10" s="23">
        <v>0</v>
      </c>
      <c r="C10" s="23">
        <v>0</v>
      </c>
      <c r="D10" s="23">
        <v>0</v>
      </c>
      <c r="E10" s="23">
        <v>0</v>
      </c>
    </row>
    <row r="11" spans="1:5" ht="12.75">
      <c r="A11" s="36" t="s">
        <v>254</v>
      </c>
      <c r="B11" s="38">
        <f>B9+B10</f>
        <v>0</v>
      </c>
      <c r="C11" s="38">
        <f>C9+C10</f>
        <v>36</v>
      </c>
      <c r="D11" s="38">
        <f>D9+D10</f>
        <v>36</v>
      </c>
      <c r="E11" s="38">
        <f>E9+E10</f>
        <v>36</v>
      </c>
    </row>
    <row r="12" spans="1:5" ht="12.75">
      <c r="A12" s="29" t="s">
        <v>257</v>
      </c>
      <c r="B12" s="23">
        <f>B3+B11</f>
        <v>0</v>
      </c>
      <c r="C12" s="23">
        <f>C3+C11</f>
        <v>60</v>
      </c>
      <c r="D12" s="23">
        <f>D3+D11</f>
        <v>54</v>
      </c>
      <c r="E12" s="23">
        <f>E3+E11</f>
        <v>48</v>
      </c>
    </row>
    <row r="13" spans="1:5" ht="12.75">
      <c r="A13" s="3"/>
      <c r="B13" s="23"/>
      <c r="C13" s="23"/>
      <c r="D13" s="23"/>
      <c r="E13" s="23"/>
    </row>
    <row r="14" spans="1:5" ht="12.75">
      <c r="A14" s="1" t="s">
        <v>258</v>
      </c>
      <c r="B14" s="23">
        <v>40</v>
      </c>
      <c r="C14" s="23">
        <f>B14+' Chapter 3'!B80</f>
        <v>54.1</v>
      </c>
      <c r="D14" s="23">
        <f>C14+' Chapter 3'!C80</f>
        <v>70.6</v>
      </c>
      <c r="E14" s="23">
        <f>D14+'[3] Chapitre 3'!D80</f>
        <v>87.5</v>
      </c>
    </row>
    <row r="15" spans="1:5" ht="12.75">
      <c r="A15" s="337" t="s">
        <v>333</v>
      </c>
      <c r="B15" s="38">
        <v>0</v>
      </c>
      <c r="C15" s="38"/>
      <c r="D15" s="38"/>
      <c r="E15" s="38"/>
    </row>
    <row r="16" spans="1:5" ht="12.75">
      <c r="A16" t="s">
        <v>264</v>
      </c>
      <c r="B16" s="23">
        <v>0</v>
      </c>
      <c r="C16" s="23">
        <f>-SUM('Chapter 2'!$C37:C37)</f>
        <v>16</v>
      </c>
      <c r="D16" s="23">
        <f>-SUM('Chapter 2'!$C37:D37)</f>
        <v>12</v>
      </c>
      <c r="E16" s="23">
        <f>-SUM('[3]Chapitre 2'!$C37:E37)</f>
        <v>8</v>
      </c>
    </row>
    <row r="17" spans="1:5" ht="12.75">
      <c r="A17" s="30" t="s">
        <v>263</v>
      </c>
      <c r="B17" s="23">
        <v>0</v>
      </c>
      <c r="C17" s="23">
        <v>0</v>
      </c>
      <c r="D17" s="23">
        <v>0</v>
      </c>
      <c r="E17" s="23">
        <v>0</v>
      </c>
    </row>
    <row r="18" spans="1:5" ht="12.75">
      <c r="A18" s="30" t="s">
        <v>262</v>
      </c>
      <c r="B18" s="23">
        <v>40</v>
      </c>
      <c r="C18" s="23">
        <f>B18+'Chapter 2'!C39</f>
        <v>10.100000000000001</v>
      </c>
      <c r="D18" s="23">
        <f>C18+'Chapter 2'!D39</f>
        <v>28.6</v>
      </c>
      <c r="E18" s="23">
        <f>D18+'[3]Chapitre 2'!E39</f>
        <v>47.5</v>
      </c>
    </row>
    <row r="19" spans="1:5" ht="12.75">
      <c r="A19" s="37" t="s">
        <v>259</v>
      </c>
      <c r="B19" s="38">
        <f>B16-B17-B18</f>
        <v>-40</v>
      </c>
      <c r="C19" s="38">
        <f>C16-C17-C18</f>
        <v>5.899999999999999</v>
      </c>
      <c r="D19" s="38">
        <f>D16-D17-D18</f>
        <v>-16.6</v>
      </c>
      <c r="E19" s="38">
        <f>E16-E17-E18</f>
        <v>-39.5</v>
      </c>
    </row>
    <row r="20" spans="1:5" ht="12.75">
      <c r="A20" s="31" t="s">
        <v>261</v>
      </c>
      <c r="B20" s="23">
        <f>B14+B19</f>
        <v>0</v>
      </c>
      <c r="C20" s="23">
        <f>C14+C19</f>
        <v>60</v>
      </c>
      <c r="D20" s="23">
        <f>D14+D19</f>
        <v>53.99999999999999</v>
      </c>
      <c r="E20" s="23">
        <f>E14+E19</f>
        <v>48</v>
      </c>
    </row>
  </sheetData>
  <printOptions/>
  <pageMargins left="0.7874015748031497" right="0.7874015748031497" top="0.984251968503937" bottom="0.984251968503937" header="0.5118110236220472" footer="0.5118110236220472"/>
  <pageSetup fitToHeight="2" fitToWidth="1" horizontalDpi="200" verticalDpi="200" orientation="landscape" paperSize="9" r:id="rId1"/>
  <headerFooter alignWithMargins="0">
    <oddFooter>&amp;L&amp;"Verdana,Italique"&amp;9&amp;F - &amp;A&amp;C&amp;P / &amp;N&amp;R&amp;"Verdana,Italique"&amp;9&amp;D - &amp;T</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F107"/>
  <sheetViews>
    <sheetView showGridLines="0" zoomScale="75" zoomScaleNormal="75" workbookViewId="0" topLeftCell="A1">
      <selection activeCell="A1" sqref="A1"/>
    </sheetView>
  </sheetViews>
  <sheetFormatPr defaultColWidth="11.00390625" defaultRowHeight="12.75"/>
  <cols>
    <col min="1" max="1" width="20.125" style="0" customWidth="1"/>
    <col min="2" max="2" width="13.50390625" style="0" bestFit="1" customWidth="1"/>
  </cols>
  <sheetData>
    <row r="1" ht="14.25">
      <c r="A1" s="41" t="s">
        <v>370</v>
      </c>
    </row>
    <row r="2" ht="12.75">
      <c r="A2" s="155" t="s">
        <v>971</v>
      </c>
    </row>
    <row r="3" spans="1:2" ht="12.75">
      <c r="A3" t="s">
        <v>1051</v>
      </c>
      <c r="B3" s="156">
        <v>10000000</v>
      </c>
    </row>
    <row r="4" spans="1:2" ht="12.75">
      <c r="A4" t="s">
        <v>1050</v>
      </c>
      <c r="B4" s="156">
        <v>5000</v>
      </c>
    </row>
    <row r="5" spans="1:4" ht="12.75">
      <c r="A5" t="s">
        <v>295</v>
      </c>
      <c r="B5" s="157">
        <v>6000000</v>
      </c>
      <c r="C5" s="156">
        <v>5</v>
      </c>
      <c r="D5" t="s">
        <v>1260</v>
      </c>
    </row>
    <row r="7" ht="12.75">
      <c r="A7" s="154" t="s">
        <v>1047</v>
      </c>
    </row>
    <row r="8" spans="1:3" ht="12.75">
      <c r="A8" s="64" t="s">
        <v>1052</v>
      </c>
      <c r="B8" s="64" t="s">
        <v>1053</v>
      </c>
      <c r="C8" s="64" t="s">
        <v>1054</v>
      </c>
    </row>
    <row r="9" spans="1:3" ht="12.75">
      <c r="A9" s="157">
        <v>1200</v>
      </c>
      <c r="B9" s="157">
        <v>1010</v>
      </c>
      <c r="C9" s="157">
        <v>1085</v>
      </c>
    </row>
    <row r="10" spans="1:3" ht="12.75">
      <c r="A10" s="157">
        <v>1600</v>
      </c>
      <c r="B10" s="157">
        <v>731</v>
      </c>
      <c r="C10" s="157">
        <v>832</v>
      </c>
    </row>
    <row r="11" spans="1:3" ht="12.75">
      <c r="A11" s="157">
        <v>2000</v>
      </c>
      <c r="B11" s="157">
        <v>510</v>
      </c>
      <c r="C11" s="157">
        <v>627</v>
      </c>
    </row>
    <row r="12" spans="1:3" ht="12.75">
      <c r="A12" s="157">
        <v>2400</v>
      </c>
      <c r="B12" s="157">
        <v>348</v>
      </c>
      <c r="C12" s="157">
        <v>468</v>
      </c>
    </row>
    <row r="13" spans="1:3" ht="12.75">
      <c r="A13" s="157"/>
      <c r="B13" s="157"/>
      <c r="C13" s="157"/>
    </row>
    <row r="14" ht="12.75">
      <c r="A14" s="154" t="s">
        <v>1055</v>
      </c>
    </row>
    <row r="15" spans="1:2" ht="12.75">
      <c r="A15" s="3" t="s">
        <v>1048</v>
      </c>
      <c r="B15" s="124">
        <f>B5/B4</f>
        <v>1200</v>
      </c>
    </row>
    <row r="16" spans="1:2" ht="12" customHeight="1">
      <c r="A16" s="312" t="s">
        <v>1049</v>
      </c>
      <c r="B16" s="159">
        <f>B4*B9</f>
        <v>5050000</v>
      </c>
    </row>
    <row r="17" spans="1:2" ht="12.75">
      <c r="A17" s="158" t="s">
        <v>972</v>
      </c>
      <c r="B17" s="159">
        <f>B3-B16</f>
        <v>4950000</v>
      </c>
    </row>
    <row r="19" ht="12.75">
      <c r="A19" s="154" t="s">
        <v>1056</v>
      </c>
    </row>
    <row r="20" ht="12.75">
      <c r="A20" t="s">
        <v>1058</v>
      </c>
    </row>
    <row r="21" spans="1:2" ht="12.75">
      <c r="A21" s="312" t="s">
        <v>1049</v>
      </c>
      <c r="B21" s="159">
        <f>C9*B4</f>
        <v>5425000</v>
      </c>
    </row>
    <row r="22" spans="1:2" ht="12.75">
      <c r="A22" s="158" t="s">
        <v>972</v>
      </c>
      <c r="B22" s="159">
        <f>B3-B21</f>
        <v>4575000</v>
      </c>
    </row>
    <row r="23" ht="12.75">
      <c r="A23" s="30" t="s">
        <v>1060</v>
      </c>
    </row>
    <row r="25" ht="12.75">
      <c r="A25" t="s">
        <v>1059</v>
      </c>
    </row>
    <row r="26" spans="1:2" ht="12.75">
      <c r="A26" t="s">
        <v>1057</v>
      </c>
      <c r="B26">
        <v>1250</v>
      </c>
    </row>
    <row r="27" spans="1:2" ht="12.75">
      <c r="A27" s="3" t="s">
        <v>1048</v>
      </c>
      <c r="B27" s="124">
        <f>B5/(B4-B26)</f>
        <v>1600</v>
      </c>
    </row>
    <row r="28" spans="1:2" ht="12.75">
      <c r="A28" s="312" t="s">
        <v>1049</v>
      </c>
      <c r="B28" s="159">
        <f>B10*(B4-B26)+B26*B3/B4</f>
        <v>5241250</v>
      </c>
    </row>
    <row r="29" spans="1:2" ht="12.75">
      <c r="A29" s="158" t="s">
        <v>972</v>
      </c>
      <c r="B29" s="159">
        <f>B3*(B4-B26)/B4-B28</f>
        <v>2258750</v>
      </c>
    </row>
    <row r="30" ht="12.75">
      <c r="A30" s="30" t="s">
        <v>1060</v>
      </c>
    </row>
    <row r="31" ht="12.75">
      <c r="A31" s="30"/>
    </row>
    <row r="32" ht="12.75">
      <c r="A32" t="s">
        <v>1061</v>
      </c>
    </row>
    <row r="33" ht="12.75">
      <c r="A33" s="30" t="s">
        <v>1060</v>
      </c>
    </row>
    <row r="34" ht="12.75">
      <c r="A34" s="30"/>
    </row>
    <row r="36" ht="14.25">
      <c r="A36" s="41" t="s">
        <v>1108</v>
      </c>
    </row>
    <row r="37" spans="1:2" ht="12.75">
      <c r="A37" s="3" t="s">
        <v>150</v>
      </c>
      <c r="B37">
        <v>50</v>
      </c>
    </row>
    <row r="38" spans="1:5" ht="12.75">
      <c r="A38" s="1" t="s">
        <v>351</v>
      </c>
      <c r="B38" s="399" t="s">
        <v>523</v>
      </c>
      <c r="C38" s="400"/>
      <c r="D38" s="388" t="s">
        <v>524</v>
      </c>
      <c r="E38" s="388"/>
    </row>
    <row r="39" spans="1:5" ht="12.75">
      <c r="A39" s="33"/>
      <c r="B39" s="61" t="s">
        <v>1064</v>
      </c>
      <c r="C39" s="54" t="s">
        <v>1065</v>
      </c>
      <c r="D39" s="61" t="s">
        <v>1064</v>
      </c>
      <c r="E39" s="54" t="s">
        <v>1065</v>
      </c>
    </row>
    <row r="40" spans="1:5" ht="12.75">
      <c r="A40" t="s">
        <v>1062</v>
      </c>
      <c r="B40" s="49">
        <v>100</v>
      </c>
      <c r="C40" s="59">
        <v>150</v>
      </c>
      <c r="D40">
        <v>100</v>
      </c>
      <c r="E40">
        <v>150</v>
      </c>
    </row>
    <row r="41" spans="1:5" ht="12.75">
      <c r="A41" t="s">
        <v>1063</v>
      </c>
      <c r="B41" s="138">
        <v>0.1</v>
      </c>
      <c r="C41" s="160">
        <v>0.1</v>
      </c>
      <c r="D41" s="47">
        <v>0.4</v>
      </c>
      <c r="E41" s="47">
        <v>0.4</v>
      </c>
    </row>
    <row r="42" spans="1:5" ht="12.75">
      <c r="A42" t="s">
        <v>1007</v>
      </c>
      <c r="B42" s="49">
        <v>7</v>
      </c>
      <c r="C42" s="161">
        <f>C40-C43</f>
        <v>54.900000000000006</v>
      </c>
      <c r="D42">
        <v>18</v>
      </c>
      <c r="E42" s="158">
        <f>E40-E43</f>
        <v>57.900000000000006</v>
      </c>
    </row>
    <row r="43" spans="1:5" ht="12.75">
      <c r="A43" t="s">
        <v>959</v>
      </c>
      <c r="B43" s="49">
        <v>93</v>
      </c>
      <c r="C43" s="59">
        <v>95.1</v>
      </c>
      <c r="D43">
        <v>82</v>
      </c>
      <c r="E43">
        <v>92.1</v>
      </c>
    </row>
    <row r="44" spans="1:5" ht="12.75">
      <c r="A44" t="s">
        <v>957</v>
      </c>
      <c r="B44" s="137">
        <v>0.075</v>
      </c>
      <c r="C44" s="133">
        <v>0.052</v>
      </c>
      <c r="D44" s="47">
        <v>0.22</v>
      </c>
      <c r="E44" s="83">
        <v>0.086</v>
      </c>
    </row>
    <row r="46" spans="1:5" ht="12.75">
      <c r="A46" s="312" t="s">
        <v>1066</v>
      </c>
      <c r="B46" s="158"/>
      <c r="C46" s="158">
        <f>C42-B42</f>
        <v>47.900000000000006</v>
      </c>
      <c r="D46" s="158"/>
      <c r="E46" s="158">
        <f>E42-D42</f>
        <v>39.900000000000006</v>
      </c>
    </row>
    <row r="47" spans="1:5" ht="12.75">
      <c r="A47" s="158" t="s">
        <v>973</v>
      </c>
      <c r="B47" s="158"/>
      <c r="C47" s="158">
        <f>C43-B43</f>
        <v>2.0999999999999943</v>
      </c>
      <c r="D47" s="158"/>
      <c r="E47" s="158">
        <f>E43-D43</f>
        <v>10.099999999999994</v>
      </c>
    </row>
    <row r="49" ht="14.25">
      <c r="A49" s="41" t="s">
        <v>1118</v>
      </c>
    </row>
    <row r="50" ht="14.25">
      <c r="A50" s="20"/>
    </row>
    <row r="51" ht="12.75">
      <c r="A51" s="154" t="s">
        <v>974</v>
      </c>
    </row>
    <row r="52" spans="1:4" ht="12.75">
      <c r="A52" s="33" t="s">
        <v>1076</v>
      </c>
      <c r="B52" s="162" t="s">
        <v>1095</v>
      </c>
      <c r="C52" s="162" t="s">
        <v>975</v>
      </c>
      <c r="D52" s="162" t="s">
        <v>1067</v>
      </c>
    </row>
    <row r="53" spans="1:4" ht="12.75">
      <c r="A53" t="s">
        <v>1075</v>
      </c>
      <c r="B53" s="124">
        <f>C53*D53</f>
        <v>0</v>
      </c>
      <c r="C53" s="157"/>
      <c r="D53" s="316">
        <v>100</v>
      </c>
    </row>
    <row r="54" spans="1:6" ht="12.75">
      <c r="A54" t="s">
        <v>1074</v>
      </c>
      <c r="B54" s="124">
        <f>C54*D54</f>
        <v>300000</v>
      </c>
      <c r="C54" s="157">
        <v>300</v>
      </c>
      <c r="D54" s="157">
        <v>1000</v>
      </c>
      <c r="E54" s="156">
        <v>3</v>
      </c>
      <c r="F54" t="s">
        <v>1260</v>
      </c>
    </row>
    <row r="55" spans="1:5" ht="12.75">
      <c r="A55" s="33" t="s">
        <v>284</v>
      </c>
      <c r="B55" s="163"/>
      <c r="C55" s="164"/>
      <c r="D55" s="164"/>
      <c r="E55" s="156"/>
    </row>
    <row r="56" spans="1:4" ht="12.75">
      <c r="A56" t="s">
        <v>1073</v>
      </c>
      <c r="B56" s="124">
        <f>C56*D56</f>
        <v>223000</v>
      </c>
      <c r="C56" s="157">
        <v>2230</v>
      </c>
      <c r="D56" s="157">
        <v>100</v>
      </c>
    </row>
    <row r="58" ht="12.75">
      <c r="A58" s="154" t="s">
        <v>1077</v>
      </c>
    </row>
    <row r="59" spans="1:2" ht="12.75">
      <c r="A59" s="64" t="s">
        <v>1052</v>
      </c>
      <c r="B59" s="64" t="s">
        <v>1068</v>
      </c>
    </row>
    <row r="60" spans="1:2" ht="12.75">
      <c r="A60" s="157">
        <v>2600</v>
      </c>
      <c r="B60" s="157">
        <v>130</v>
      </c>
    </row>
    <row r="61" spans="1:2" ht="12.75">
      <c r="A61" s="157">
        <v>2800</v>
      </c>
      <c r="B61" s="157">
        <v>80</v>
      </c>
    </row>
    <row r="62" spans="1:2" ht="12.75">
      <c r="A62" s="157">
        <v>3000</v>
      </c>
      <c r="B62" s="157">
        <v>45</v>
      </c>
    </row>
    <row r="63" spans="1:2" ht="12.75">
      <c r="A63" s="157">
        <v>3200</v>
      </c>
      <c r="B63" s="157">
        <v>32</v>
      </c>
    </row>
    <row r="64" ht="12.75">
      <c r="A64" t="s">
        <v>521</v>
      </c>
    </row>
    <row r="65" spans="1:2" ht="25.5">
      <c r="A65" s="3" t="s">
        <v>1069</v>
      </c>
      <c r="B65" s="124">
        <f>B54/D53</f>
        <v>3000</v>
      </c>
    </row>
    <row r="66" spans="1:2" ht="12.75">
      <c r="A66" t="s">
        <v>1070</v>
      </c>
      <c r="B66" s="124">
        <f>B62*D53</f>
        <v>4500</v>
      </c>
    </row>
    <row r="67" spans="1:2" ht="12.75">
      <c r="A67" t="s">
        <v>1071</v>
      </c>
      <c r="B67" s="165">
        <f>B56-B66</f>
        <v>218500</v>
      </c>
    </row>
    <row r="69" spans="1:4" ht="12.75">
      <c r="A69" s="3" t="s">
        <v>1072</v>
      </c>
      <c r="B69" s="157">
        <f>C69*D69</f>
        <v>13380</v>
      </c>
      <c r="C69" s="316">
        <v>2230</v>
      </c>
      <c r="D69" s="316">
        <v>6</v>
      </c>
    </row>
    <row r="70" spans="1:4" ht="12.75">
      <c r="A70" t="s">
        <v>1073</v>
      </c>
      <c r="B70" s="124">
        <f>C70*D70</f>
        <v>209620</v>
      </c>
      <c r="C70" s="124">
        <v>2230</v>
      </c>
      <c r="D70" s="124">
        <f>D56-D69</f>
        <v>94</v>
      </c>
    </row>
    <row r="72" ht="12.75">
      <c r="A72" t="s">
        <v>1087</v>
      </c>
    </row>
    <row r="73" spans="1:2" ht="12.75">
      <c r="A73" t="s">
        <v>1052</v>
      </c>
      <c r="B73" s="165">
        <f>B54/D70</f>
        <v>3191.4893617021276</v>
      </c>
    </row>
    <row r="74" spans="1:2" ht="12.75">
      <c r="A74" t="s">
        <v>1086</v>
      </c>
      <c r="B74" s="152">
        <f>INDEX(LINEST(B62:B63,A62:A63),1)*B73+INDEX(LINEST(B62:B63,A62:A63),2)</f>
        <v>32.553191489361694</v>
      </c>
    </row>
    <row r="75" spans="1:2" ht="12.75">
      <c r="A75" s="3"/>
      <c r="B75" s="124"/>
    </row>
    <row r="76" spans="1:2" ht="12.75">
      <c r="A76" s="3" t="s">
        <v>522</v>
      </c>
      <c r="B76" s="124"/>
    </row>
    <row r="77" spans="1:2" ht="12.75">
      <c r="A77" s="312" t="s">
        <v>1078</v>
      </c>
      <c r="B77" s="159">
        <f>B74*D70</f>
        <v>3059.999999999999</v>
      </c>
    </row>
    <row r="78" spans="1:2" ht="12.75">
      <c r="A78" s="312" t="s">
        <v>1079</v>
      </c>
      <c r="B78" s="159">
        <f>B70-B77</f>
        <v>206560</v>
      </c>
    </row>
    <row r="80" spans="1:2" ht="12.75">
      <c r="A80" s="312" t="s">
        <v>1066</v>
      </c>
      <c r="B80" s="65">
        <f>B77-B66+B69</f>
        <v>11940</v>
      </c>
    </row>
    <row r="81" spans="1:2" ht="12.75">
      <c r="A81" s="158" t="s">
        <v>973</v>
      </c>
      <c r="B81" s="65">
        <f>B78-B67</f>
        <v>-11940</v>
      </c>
    </row>
    <row r="83" spans="1:2" ht="12.75">
      <c r="A83" s="373" t="s">
        <v>1083</v>
      </c>
      <c r="B83" s="87">
        <f>POWER(B54/B78,1/3)-1</f>
        <v>0.13246557721650665</v>
      </c>
    </row>
    <row r="85" ht="12.75">
      <c r="A85" s="313" t="s">
        <v>1085</v>
      </c>
    </row>
    <row r="87" ht="12.75">
      <c r="A87" s="118" t="s">
        <v>1080</v>
      </c>
    </row>
    <row r="89" ht="12.75">
      <c r="A89" s="85" t="s">
        <v>1081</v>
      </c>
    </row>
    <row r="90" spans="1:2" ht="12.75">
      <c r="A90" t="s">
        <v>1007</v>
      </c>
      <c r="B90" s="165">
        <f>B66</f>
        <v>4500</v>
      </c>
    </row>
    <row r="91" ht="12.75">
      <c r="B91" s="165"/>
    </row>
    <row r="92" ht="12.75">
      <c r="A92" s="85" t="s">
        <v>1082</v>
      </c>
    </row>
    <row r="93" spans="1:2" ht="12.75">
      <c r="A93" t="s">
        <v>1007</v>
      </c>
      <c r="B93" s="314">
        <f>B77</f>
        <v>3059.999999999999</v>
      </c>
    </row>
    <row r="94" spans="1:2" ht="12.75">
      <c r="A94" s="33" t="s">
        <v>626</v>
      </c>
      <c r="B94" s="315">
        <f>B69</f>
        <v>13380</v>
      </c>
    </row>
    <row r="95" spans="1:2" ht="12.75">
      <c r="A95" t="s">
        <v>1095</v>
      </c>
      <c r="B95" s="314">
        <f>B93+B94</f>
        <v>16440</v>
      </c>
    </row>
    <row r="97" spans="1:2" ht="12.75">
      <c r="A97" s="1" t="s">
        <v>1093</v>
      </c>
      <c r="B97" s="125">
        <f>B95-B90</f>
        <v>11940</v>
      </c>
    </row>
    <row r="99" ht="12.75">
      <c r="A99" s="118" t="s">
        <v>1084</v>
      </c>
    </row>
    <row r="101" ht="12.75">
      <c r="A101" t="s">
        <v>1081</v>
      </c>
    </row>
    <row r="102" spans="1:2" ht="12.75">
      <c r="A102" t="s">
        <v>959</v>
      </c>
      <c r="B102" s="165">
        <f>B67</f>
        <v>218500</v>
      </c>
    </row>
    <row r="104" ht="12.75">
      <c r="A104" t="s">
        <v>1082</v>
      </c>
    </row>
    <row r="105" spans="1:2" ht="12.75">
      <c r="A105" t="s">
        <v>959</v>
      </c>
      <c r="B105" s="165">
        <f>B78</f>
        <v>206560</v>
      </c>
    </row>
    <row r="107" spans="1:2" ht="12.75">
      <c r="A107" s="1" t="s">
        <v>1093</v>
      </c>
      <c r="B107" s="125">
        <f>B105-B102</f>
        <v>-11940</v>
      </c>
    </row>
  </sheetData>
  <mergeCells count="2">
    <mergeCell ref="B38:C38"/>
    <mergeCell ref="D38:E38"/>
  </mergeCells>
  <printOptions/>
  <pageMargins left="0.7874015748031497" right="0.7874015748031497" top="0.984251968503937" bottom="0.984251968503937" header="0.5118110236220472" footer="0.5118110236220472"/>
  <pageSetup fitToHeight="4"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31.xml><?xml version="1.0" encoding="utf-8"?>
<worksheet xmlns="http://schemas.openxmlformats.org/spreadsheetml/2006/main" xmlns:r="http://schemas.openxmlformats.org/officeDocument/2006/relationships">
  <dimension ref="A1:G20"/>
  <sheetViews>
    <sheetView showGridLines="0" zoomScale="75" zoomScaleNormal="75" workbookViewId="0" topLeftCell="A1">
      <selection activeCell="A1" sqref="A1"/>
    </sheetView>
  </sheetViews>
  <sheetFormatPr defaultColWidth="11.00390625" defaultRowHeight="12.75"/>
  <cols>
    <col min="1" max="1" width="22.75390625" style="0" customWidth="1"/>
  </cols>
  <sheetData>
    <row r="1" ht="14.25">
      <c r="A1" s="41" t="s">
        <v>287</v>
      </c>
    </row>
    <row r="2" s="207" customFormat="1" ht="11.25"/>
    <row r="3" spans="1:7" ht="12.75">
      <c r="A3" t="s">
        <v>28</v>
      </c>
      <c r="B3">
        <v>0</v>
      </c>
      <c r="C3">
        <v>1</v>
      </c>
      <c r="D3">
        <v>2</v>
      </c>
      <c r="E3">
        <v>3</v>
      </c>
      <c r="F3">
        <v>4</v>
      </c>
      <c r="G3">
        <v>5</v>
      </c>
    </row>
    <row r="4" spans="1:7" ht="12.75">
      <c r="A4" t="s">
        <v>1099</v>
      </c>
      <c r="B4">
        <v>-100</v>
      </c>
      <c r="C4">
        <v>-10</v>
      </c>
      <c r="D4">
        <v>0</v>
      </c>
      <c r="E4">
        <v>0</v>
      </c>
      <c r="F4">
        <v>10</v>
      </c>
      <c r="G4">
        <v>150</v>
      </c>
    </row>
    <row r="6" ht="12.75">
      <c r="A6" s="154" t="s">
        <v>627</v>
      </c>
    </row>
    <row r="7" spans="1:7" ht="12.75">
      <c r="A7" t="s">
        <v>629</v>
      </c>
      <c r="B7" s="47">
        <v>0.3</v>
      </c>
      <c r="C7" s="47">
        <v>0.22</v>
      </c>
      <c r="D7" s="47">
        <v>0.22</v>
      </c>
      <c r="E7" s="47">
        <v>0.22</v>
      </c>
      <c r="F7" s="47">
        <v>0.22</v>
      </c>
      <c r="G7" s="47">
        <v>0.22</v>
      </c>
    </row>
    <row r="8" spans="1:7" ht="12.75">
      <c r="A8" t="s">
        <v>100</v>
      </c>
      <c r="B8">
        <v>10</v>
      </c>
      <c r="C8">
        <v>8.25</v>
      </c>
      <c r="D8">
        <v>9.1</v>
      </c>
      <c r="E8">
        <v>10.3</v>
      </c>
      <c r="F8">
        <v>11.8</v>
      </c>
      <c r="G8">
        <v>13.6</v>
      </c>
    </row>
    <row r="9" spans="1:7" ht="12.75">
      <c r="A9" t="s">
        <v>630</v>
      </c>
      <c r="B9" s="87"/>
      <c r="C9" s="67">
        <f>(C8-B8)/B8</f>
        <v>-0.175</v>
      </c>
      <c r="D9" s="67">
        <f>(D8-C8)/C8</f>
        <v>0.10303030303030299</v>
      </c>
      <c r="E9" s="67">
        <f>(E8-D8)/D8</f>
        <v>0.13186813186813198</v>
      </c>
      <c r="F9" s="67">
        <f>(F8-E8)/E8</f>
        <v>0.14563106796116504</v>
      </c>
      <c r="G9" s="67">
        <f>(G8-F8)/F8</f>
        <v>0.15254237288135583</v>
      </c>
    </row>
    <row r="10" spans="1:7" ht="12.75">
      <c r="A10" t="s">
        <v>631</v>
      </c>
      <c r="B10" s="87">
        <v>0.15</v>
      </c>
      <c r="C10" s="87">
        <v>0.11</v>
      </c>
      <c r="D10" s="87">
        <v>0.11</v>
      </c>
      <c r="E10" s="87">
        <v>0.114</v>
      </c>
      <c r="F10" s="87">
        <v>0.116</v>
      </c>
      <c r="G10" s="87">
        <v>0.12</v>
      </c>
    </row>
    <row r="12" ht="12.75">
      <c r="A12" s="154" t="s">
        <v>628</v>
      </c>
    </row>
    <row r="13" spans="1:7" ht="12.75">
      <c r="A13" t="s">
        <v>629</v>
      </c>
      <c r="B13" s="47">
        <v>0.3</v>
      </c>
      <c r="C13" s="47">
        <v>0.67</v>
      </c>
      <c r="D13" s="47">
        <v>0.67</v>
      </c>
      <c r="E13" s="47">
        <v>0.67</v>
      </c>
      <c r="F13" s="47">
        <v>0.67</v>
      </c>
      <c r="G13" s="47">
        <v>0.67</v>
      </c>
    </row>
    <row r="14" spans="1:7" ht="12.75">
      <c r="A14" t="s">
        <v>100</v>
      </c>
      <c r="B14">
        <v>10</v>
      </c>
      <c r="C14">
        <v>9.23</v>
      </c>
      <c r="D14">
        <v>10.4</v>
      </c>
      <c r="E14">
        <v>12</v>
      </c>
      <c r="F14">
        <v>14.1</v>
      </c>
      <c r="G14">
        <v>16.5</v>
      </c>
    </row>
    <row r="15" spans="1:7" ht="12.75">
      <c r="A15" t="s">
        <v>630</v>
      </c>
      <c r="C15" s="67">
        <f>(C14-B14)/B14</f>
        <v>-0.07699999999999996</v>
      </c>
      <c r="D15" s="67">
        <f>(D14-C14)/C14</f>
        <v>0.1267605633802817</v>
      </c>
      <c r="E15" s="67">
        <f>(E14-D14)/D14</f>
        <v>0.1538461538461538</v>
      </c>
      <c r="F15" s="67">
        <f>(F14-E14)/E14</f>
        <v>0.17499999999999996</v>
      </c>
      <c r="G15" s="67">
        <f>(G14-F14)/F14</f>
        <v>0.17021276595744683</v>
      </c>
    </row>
    <row r="16" spans="1:7" ht="12.75">
      <c r="A16" t="s">
        <v>631</v>
      </c>
      <c r="B16" s="47">
        <v>0.15</v>
      </c>
      <c r="C16" s="47">
        <v>0.14</v>
      </c>
      <c r="D16" s="47">
        <v>0.17</v>
      </c>
      <c r="E16" s="47">
        <v>0.18</v>
      </c>
      <c r="F16" s="47">
        <v>0.21</v>
      </c>
      <c r="G16" s="47">
        <v>0.22</v>
      </c>
    </row>
    <row r="18" spans="1:7" ht="12.75">
      <c r="A18" s="330" t="s">
        <v>444</v>
      </c>
      <c r="B18" s="6">
        <f aca="true" t="shared" si="0" ref="B18:G18">B4*POWER(1+$B20,-B3)</f>
        <v>-100</v>
      </c>
      <c r="C18" s="6">
        <f t="shared" si="0"/>
        <v>-9.256141785628147</v>
      </c>
      <c r="D18" s="6">
        <f t="shared" si="0"/>
        <v>0</v>
      </c>
      <c r="E18" s="6">
        <f t="shared" si="0"/>
        <v>0</v>
      </c>
      <c r="F18" s="6">
        <f t="shared" si="0"/>
        <v>7.340404521828226</v>
      </c>
      <c r="G18" s="6">
        <f t="shared" si="0"/>
        <v>101.91573752686206</v>
      </c>
    </row>
    <row r="19" spans="1:2" ht="12.75">
      <c r="A19" t="s">
        <v>1236</v>
      </c>
      <c r="B19" s="6">
        <f>SUM(B18:G18)</f>
        <v>2.6306214806481876E-07</v>
      </c>
    </row>
    <row r="20" spans="1:2" ht="12.75">
      <c r="A20" s="1" t="s">
        <v>1284</v>
      </c>
      <c r="B20" s="87">
        <v>0.08036374459246381</v>
      </c>
    </row>
  </sheetData>
  <printOptions/>
  <pageMargins left="0.7874015748031497" right="0.7874015748031497" top="0.984251968503937" bottom="0.984251968503937" header="0.5118110236220472" footer="0.5118110236220472"/>
  <pageSetup horizontalDpi="200" verticalDpi="200" orientation="portrait" paperSize="9" r:id="rId2"/>
  <headerFooter alignWithMargins="0">
    <oddFooter>&amp;L&amp;"Verdana,Italique"&amp;9&amp;F - &amp;A&amp;C&amp;P / &amp;N&amp;R&amp;"Verdana,Italique"&amp;9&amp;D - &amp;T</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1:J28"/>
  <sheetViews>
    <sheetView showGridLines="0" zoomScale="75" zoomScaleNormal="75" workbookViewId="0" topLeftCell="A1">
      <selection activeCell="A1" sqref="A1"/>
    </sheetView>
  </sheetViews>
  <sheetFormatPr defaultColWidth="11.00390625" defaultRowHeight="12.75"/>
  <cols>
    <col min="1" max="1" width="20.875" style="178" customWidth="1"/>
  </cols>
  <sheetData>
    <row r="1" ht="14.25">
      <c r="A1" s="41" t="s">
        <v>370</v>
      </c>
    </row>
    <row r="2" spans="1:2" s="235" customFormat="1" ht="12.75">
      <c r="A2" s="209" t="s">
        <v>637</v>
      </c>
      <c r="B2" s="364">
        <v>0.1</v>
      </c>
    </row>
    <row r="3" spans="1:2" ht="12.75">
      <c r="A3" s="179" t="s">
        <v>638</v>
      </c>
      <c r="B3" s="87">
        <v>0.25</v>
      </c>
    </row>
    <row r="4" spans="1:2" ht="12.75">
      <c r="A4" s="179" t="s">
        <v>639</v>
      </c>
      <c r="B4" s="87">
        <v>0.07</v>
      </c>
    </row>
    <row r="5" spans="1:2" ht="12.75">
      <c r="A5" s="179" t="s">
        <v>232</v>
      </c>
      <c r="B5" s="87">
        <v>0.4</v>
      </c>
    </row>
    <row r="6" spans="1:2" ht="12.75">
      <c r="A6" s="365" t="s">
        <v>551</v>
      </c>
      <c r="B6" s="67">
        <f>B4*(1-B5)</f>
        <v>0.042</v>
      </c>
    </row>
    <row r="8" ht="12.75">
      <c r="A8" s="154" t="s">
        <v>78</v>
      </c>
    </row>
    <row r="9" spans="1:2" ht="12.75">
      <c r="A9" s="179" t="s">
        <v>942</v>
      </c>
      <c r="B9" s="87">
        <v>0</v>
      </c>
    </row>
    <row r="10" spans="1:2" ht="12.75">
      <c r="A10" s="183" t="s">
        <v>641</v>
      </c>
      <c r="B10" s="126">
        <f>(B3/(1-B9)-B2)/(B2-B6)</f>
        <v>2.5862068965517238</v>
      </c>
    </row>
    <row r="12" ht="12.75">
      <c r="A12" s="154" t="s">
        <v>78</v>
      </c>
    </row>
    <row r="13" spans="1:2" ht="12.75">
      <c r="A13" s="179" t="s">
        <v>942</v>
      </c>
      <c r="B13" s="87">
        <f>1/3</f>
        <v>0.3333333333333333</v>
      </c>
    </row>
    <row r="14" spans="1:2" ht="12.75">
      <c r="A14" s="183" t="s">
        <v>641</v>
      </c>
      <c r="B14" s="126">
        <f>(B3/(1-B13)-B2)/(B2-B6)</f>
        <v>4.741379310344826</v>
      </c>
    </row>
    <row r="16" ht="12.75">
      <c r="A16" s="154" t="s">
        <v>640</v>
      </c>
    </row>
    <row r="17" spans="1:2" ht="12.75">
      <c r="A17" s="179" t="s">
        <v>641</v>
      </c>
      <c r="B17" s="141">
        <v>1</v>
      </c>
    </row>
    <row r="18" spans="1:2" ht="12.75">
      <c r="A18" s="179" t="s">
        <v>942</v>
      </c>
      <c r="B18" s="140">
        <v>0</v>
      </c>
    </row>
    <row r="19" spans="1:2" ht="12.75">
      <c r="A19" s="183" t="s">
        <v>937</v>
      </c>
      <c r="B19" s="136">
        <f>(B2+(B2-B6)*B17)*(1-B18)</f>
        <v>0.158</v>
      </c>
    </row>
    <row r="21" ht="14.25">
      <c r="A21" s="41" t="s">
        <v>1108</v>
      </c>
    </row>
    <row r="22" spans="1:10" ht="31.5">
      <c r="A22" s="196" t="s">
        <v>28</v>
      </c>
      <c r="B22" s="64" t="s">
        <v>632</v>
      </c>
      <c r="C22" s="64" t="s">
        <v>295</v>
      </c>
      <c r="D22" s="64" t="s">
        <v>1112</v>
      </c>
      <c r="E22" s="64" t="s">
        <v>633</v>
      </c>
      <c r="F22" s="64" t="s">
        <v>635</v>
      </c>
      <c r="G22" s="64" t="s">
        <v>266</v>
      </c>
      <c r="H22" s="64" t="s">
        <v>209</v>
      </c>
      <c r="I22" s="64" t="s">
        <v>634</v>
      </c>
      <c r="J22" s="64" t="s">
        <v>636</v>
      </c>
    </row>
    <row r="23" spans="1:10" ht="12.75">
      <c r="A23" s="178">
        <v>1</v>
      </c>
      <c r="B23">
        <v>100</v>
      </c>
      <c r="C23">
        <v>100</v>
      </c>
      <c r="D23">
        <f aca="true" t="shared" si="0" ref="D23:D28">SUM(B23:C23)</f>
        <v>200</v>
      </c>
      <c r="E23">
        <v>20</v>
      </c>
      <c r="F23">
        <v>8</v>
      </c>
      <c r="G23">
        <f aca="true" t="shared" si="1" ref="G23:G28">E23-F23</f>
        <v>12</v>
      </c>
      <c r="H23">
        <v>2</v>
      </c>
      <c r="I23">
        <f aca="true" t="shared" si="2" ref="I23:I28">G23-H23</f>
        <v>10</v>
      </c>
      <c r="J23">
        <f aca="true" t="shared" si="3" ref="J23:J28">B23+I23</f>
        <v>110</v>
      </c>
    </row>
    <row r="24" spans="1:10" ht="12.75">
      <c r="A24" s="178">
        <f>A23+1</f>
        <v>2</v>
      </c>
      <c r="B24">
        <f>J23</f>
        <v>110</v>
      </c>
      <c r="C24">
        <v>140</v>
      </c>
      <c r="D24">
        <f t="shared" si="0"/>
        <v>250</v>
      </c>
      <c r="E24">
        <v>25</v>
      </c>
      <c r="F24">
        <v>12</v>
      </c>
      <c r="G24">
        <f t="shared" si="1"/>
        <v>13</v>
      </c>
      <c r="H24">
        <v>1</v>
      </c>
      <c r="I24">
        <f t="shared" si="2"/>
        <v>12</v>
      </c>
      <c r="J24">
        <f t="shared" si="3"/>
        <v>122</v>
      </c>
    </row>
    <row r="25" spans="1:10" ht="12.75">
      <c r="A25" s="178">
        <f>A24+1</f>
        <v>3</v>
      </c>
      <c r="B25">
        <f>J24</f>
        <v>122</v>
      </c>
      <c r="C25">
        <v>190</v>
      </c>
      <c r="D25">
        <f t="shared" si="0"/>
        <v>312</v>
      </c>
      <c r="E25">
        <v>28</v>
      </c>
      <c r="F25">
        <v>17</v>
      </c>
      <c r="G25">
        <f t="shared" si="1"/>
        <v>11</v>
      </c>
      <c r="H25">
        <v>0</v>
      </c>
      <c r="I25">
        <f t="shared" si="2"/>
        <v>11</v>
      </c>
      <c r="J25">
        <f t="shared" si="3"/>
        <v>133</v>
      </c>
    </row>
    <row r="26" spans="1:10" ht="12.75">
      <c r="A26" s="178">
        <f>A25+1</f>
        <v>4</v>
      </c>
      <c r="B26">
        <f>J25</f>
        <v>133</v>
      </c>
      <c r="C26">
        <v>258</v>
      </c>
      <c r="D26">
        <f t="shared" si="0"/>
        <v>391</v>
      </c>
      <c r="E26">
        <v>31</v>
      </c>
      <c r="F26">
        <v>26</v>
      </c>
      <c r="G26">
        <f t="shared" si="1"/>
        <v>5</v>
      </c>
      <c r="H26">
        <v>0</v>
      </c>
      <c r="I26">
        <f t="shared" si="2"/>
        <v>5</v>
      </c>
      <c r="J26">
        <f t="shared" si="3"/>
        <v>138</v>
      </c>
    </row>
    <row r="27" spans="1:10" ht="12.75">
      <c r="A27" s="178">
        <f>A26+1</f>
        <v>5</v>
      </c>
      <c r="B27">
        <f>J26</f>
        <v>138</v>
      </c>
      <c r="C27">
        <v>350</v>
      </c>
      <c r="D27">
        <f t="shared" si="0"/>
        <v>488</v>
      </c>
      <c r="E27">
        <v>34</v>
      </c>
      <c r="F27">
        <v>35</v>
      </c>
      <c r="G27">
        <f t="shared" si="1"/>
        <v>-1</v>
      </c>
      <c r="H27">
        <v>0</v>
      </c>
      <c r="I27">
        <f t="shared" si="2"/>
        <v>-1</v>
      </c>
      <c r="J27">
        <f t="shared" si="3"/>
        <v>137</v>
      </c>
    </row>
    <row r="28" spans="1:10" ht="12.75">
      <c r="A28" s="178">
        <f>A27+1</f>
        <v>6</v>
      </c>
      <c r="B28">
        <f>J27</f>
        <v>137</v>
      </c>
      <c r="C28">
        <v>474</v>
      </c>
      <c r="D28">
        <f t="shared" si="0"/>
        <v>611</v>
      </c>
      <c r="E28">
        <v>43</v>
      </c>
      <c r="F28">
        <v>47</v>
      </c>
      <c r="G28">
        <f t="shared" si="1"/>
        <v>-4</v>
      </c>
      <c r="H28">
        <v>0</v>
      </c>
      <c r="I28">
        <f t="shared" si="2"/>
        <v>-4</v>
      </c>
      <c r="J28">
        <f t="shared" si="3"/>
        <v>133</v>
      </c>
    </row>
  </sheetData>
  <printOptions/>
  <pageMargins left="0.7874015748031497" right="0.7874015748031497" top="0.984251968503937" bottom="0.984251968503937" header="0.5118110236220472" footer="0.5118110236220472"/>
  <pageSetup fitToHeight="1" fitToWidth="1" horizontalDpi="200" verticalDpi="200" orientation="landscape" paperSize="9" scale="98" r:id="rId2"/>
  <headerFooter alignWithMargins="0">
    <oddFooter>&amp;L&amp;"Verdana,Italique"&amp;9&amp;F - &amp;A&amp;C&amp;P / &amp;N&amp;R&amp;"Verdana,Italique"&amp;9&amp;D - &amp;T</oddFooter>
  </headerFooter>
  <drawing r:id="rId1"/>
</worksheet>
</file>

<file path=xl/worksheets/sheet33.xml><?xml version="1.0" encoding="utf-8"?>
<worksheet xmlns="http://schemas.openxmlformats.org/spreadsheetml/2006/main" xmlns:r="http://schemas.openxmlformats.org/officeDocument/2006/relationships">
  <sheetPr>
    <pageSetUpPr fitToPage="1"/>
  </sheetPr>
  <dimension ref="A1:V101"/>
  <sheetViews>
    <sheetView showGridLines="0" zoomScale="75" zoomScaleNormal="75" workbookViewId="0" topLeftCell="A1">
      <selection activeCell="A1" sqref="A1"/>
    </sheetView>
  </sheetViews>
  <sheetFormatPr defaultColWidth="11.00390625" defaultRowHeight="12.75"/>
  <cols>
    <col min="1" max="1" width="18.125" style="178" customWidth="1"/>
    <col min="2" max="2" width="13.375" style="0" bestFit="1" customWidth="1"/>
    <col min="3" max="4" width="15.625" style="0" customWidth="1"/>
    <col min="5" max="6" width="11.125" style="0" bestFit="1" customWidth="1"/>
    <col min="7" max="7" width="11.875" style="0" customWidth="1"/>
    <col min="8" max="9" width="11.125" style="0" bestFit="1" customWidth="1"/>
  </cols>
  <sheetData>
    <row r="1" ht="14.25">
      <c r="A1" s="41" t="s">
        <v>370</v>
      </c>
    </row>
    <row r="2" ht="12.75">
      <c r="A2" s="155" t="s">
        <v>987</v>
      </c>
    </row>
    <row r="3" spans="1:3" ht="12.75">
      <c r="A3" s="179" t="s">
        <v>110</v>
      </c>
      <c r="B3" s="23">
        <v>168.2</v>
      </c>
      <c r="C3" t="s">
        <v>931</v>
      </c>
    </row>
    <row r="4" spans="1:3" ht="12.75">
      <c r="A4" s="179" t="s">
        <v>642</v>
      </c>
      <c r="B4" s="23">
        <v>3.8</v>
      </c>
      <c r="C4" t="s">
        <v>931</v>
      </c>
    </row>
    <row r="5" spans="1:3" ht="12.75">
      <c r="A5" s="179" t="s">
        <v>100</v>
      </c>
      <c r="B5" s="23">
        <v>10.82</v>
      </c>
      <c r="C5" t="s">
        <v>931</v>
      </c>
    </row>
    <row r="6" spans="1:2" ht="12.75">
      <c r="A6" s="179" t="s">
        <v>232</v>
      </c>
      <c r="B6" s="47">
        <v>0.3443</v>
      </c>
    </row>
    <row r="7" spans="1:2" ht="12.75">
      <c r="A7" s="179"/>
      <c r="B7" s="47"/>
    </row>
    <row r="8" spans="1:4" ht="12.75">
      <c r="A8" s="183" t="s">
        <v>942</v>
      </c>
      <c r="B8" s="117">
        <f>B4/B5</f>
        <v>0.35120147874306834</v>
      </c>
      <c r="D8" s="47"/>
    </row>
    <row r="9" spans="1:2" ht="12.75">
      <c r="A9" s="183" t="s">
        <v>643</v>
      </c>
      <c r="B9" s="117">
        <f>B4*1.5/B3</f>
        <v>0.03388822829964328</v>
      </c>
    </row>
    <row r="10" spans="1:3" ht="12.75">
      <c r="A10" s="183" t="s">
        <v>644</v>
      </c>
      <c r="B10" s="319">
        <f>B4/B3</f>
        <v>0.022592152199762187</v>
      </c>
      <c r="C10" t="s">
        <v>645</v>
      </c>
    </row>
    <row r="12" ht="14.25">
      <c r="A12" s="41" t="s">
        <v>1108</v>
      </c>
    </row>
    <row r="13" spans="1:9" ht="12.75">
      <c r="A13" s="179"/>
      <c r="B13" s="179"/>
      <c r="C13" s="106">
        <v>1997</v>
      </c>
      <c r="D13" s="106">
        <f aca="true" t="shared" si="0" ref="D13:I13">C13+1</f>
        <v>1998</v>
      </c>
      <c r="E13" s="106">
        <f t="shared" si="0"/>
        <v>1999</v>
      </c>
      <c r="F13" s="106">
        <f t="shared" si="0"/>
        <v>2000</v>
      </c>
      <c r="G13" s="106">
        <f t="shared" si="0"/>
        <v>2001</v>
      </c>
      <c r="H13" s="106">
        <f t="shared" si="0"/>
        <v>2002</v>
      </c>
      <c r="I13" s="106">
        <f t="shared" si="0"/>
        <v>2003</v>
      </c>
    </row>
    <row r="14" spans="1:9" ht="12.75">
      <c r="A14" s="179" t="s">
        <v>523</v>
      </c>
      <c r="B14" t="s">
        <v>100</v>
      </c>
      <c r="C14">
        <v>100</v>
      </c>
      <c r="D14">
        <v>115</v>
      </c>
      <c r="E14">
        <v>131</v>
      </c>
      <c r="F14">
        <v>150</v>
      </c>
      <c r="G14">
        <v>160</v>
      </c>
      <c r="H14">
        <v>165</v>
      </c>
      <c r="I14">
        <v>167</v>
      </c>
    </row>
    <row r="15" spans="2:9" ht="12.75">
      <c r="B15" t="s">
        <v>646</v>
      </c>
      <c r="C15">
        <v>20</v>
      </c>
      <c r="D15">
        <v>23</v>
      </c>
      <c r="E15">
        <v>26</v>
      </c>
      <c r="F15">
        <v>30</v>
      </c>
      <c r="G15">
        <v>35</v>
      </c>
      <c r="H15">
        <v>41</v>
      </c>
      <c r="I15">
        <v>60</v>
      </c>
    </row>
    <row r="16" spans="2:9" ht="12.75">
      <c r="B16" s="198" t="s">
        <v>942</v>
      </c>
      <c r="C16" s="197">
        <f>C15/C14</f>
        <v>0.2</v>
      </c>
      <c r="D16" s="197">
        <f aca="true" t="shared" si="1" ref="D16:I16">D15/D14</f>
        <v>0.2</v>
      </c>
      <c r="E16" s="197">
        <f t="shared" si="1"/>
        <v>0.1984732824427481</v>
      </c>
      <c r="F16" s="197">
        <f t="shared" si="1"/>
        <v>0.2</v>
      </c>
      <c r="G16" s="197">
        <f t="shared" si="1"/>
        <v>0.21875</v>
      </c>
      <c r="H16" s="197">
        <f t="shared" si="1"/>
        <v>0.24848484848484848</v>
      </c>
      <c r="I16" s="197">
        <f t="shared" si="1"/>
        <v>0.3592814371257485</v>
      </c>
    </row>
    <row r="17" spans="2:9" ht="12.75">
      <c r="B17" s="198" t="s">
        <v>647</v>
      </c>
      <c r="C17" s="13"/>
      <c r="D17" s="197">
        <f aca="true" t="shared" si="2" ref="D17:I17">(D15-C15)/C15</f>
        <v>0.15</v>
      </c>
      <c r="E17" s="197">
        <f t="shared" si="2"/>
        <v>0.13043478260869565</v>
      </c>
      <c r="F17" s="197">
        <f t="shared" si="2"/>
        <v>0.15384615384615385</v>
      </c>
      <c r="G17" s="197">
        <f t="shared" si="2"/>
        <v>0.16666666666666666</v>
      </c>
      <c r="H17" s="197">
        <f t="shared" si="2"/>
        <v>0.17142857142857143</v>
      </c>
      <c r="I17" s="197">
        <f t="shared" si="2"/>
        <v>0.4634146341463415</v>
      </c>
    </row>
    <row r="18" spans="1:9" ht="12.75">
      <c r="A18" s="179" t="s">
        <v>524</v>
      </c>
      <c r="B18" t="s">
        <v>100</v>
      </c>
      <c r="C18">
        <v>350</v>
      </c>
      <c r="D18">
        <v>402</v>
      </c>
      <c r="E18">
        <v>458</v>
      </c>
      <c r="F18">
        <v>524</v>
      </c>
      <c r="G18">
        <v>559</v>
      </c>
      <c r="H18">
        <v>577</v>
      </c>
      <c r="I18">
        <v>584</v>
      </c>
    </row>
    <row r="19" spans="2:9" ht="12.75">
      <c r="B19" t="s">
        <v>646</v>
      </c>
      <c r="C19">
        <v>70</v>
      </c>
      <c r="D19">
        <v>80</v>
      </c>
      <c r="E19">
        <v>92</v>
      </c>
      <c r="F19">
        <v>105</v>
      </c>
      <c r="G19">
        <v>112</v>
      </c>
      <c r="H19">
        <v>115</v>
      </c>
      <c r="I19">
        <v>117</v>
      </c>
    </row>
    <row r="20" spans="2:9" ht="12.75">
      <c r="B20" s="198" t="s">
        <v>942</v>
      </c>
      <c r="C20" s="197">
        <f aca="true" t="shared" si="3" ref="C20:I20">C19/C18</f>
        <v>0.2</v>
      </c>
      <c r="D20" s="197">
        <f t="shared" si="3"/>
        <v>0.19900497512437812</v>
      </c>
      <c r="E20" s="197">
        <f t="shared" si="3"/>
        <v>0.20087336244541484</v>
      </c>
      <c r="F20" s="197">
        <f t="shared" si="3"/>
        <v>0.20038167938931298</v>
      </c>
      <c r="G20" s="197">
        <f t="shared" si="3"/>
        <v>0.2003577817531306</v>
      </c>
      <c r="H20" s="197">
        <f t="shared" si="3"/>
        <v>0.19930675909878684</v>
      </c>
      <c r="I20" s="197">
        <f t="shared" si="3"/>
        <v>0.20034246575342465</v>
      </c>
    </row>
    <row r="21" spans="2:9" ht="12.75">
      <c r="B21" s="198" t="s">
        <v>647</v>
      </c>
      <c r="C21" s="13"/>
      <c r="D21" s="197">
        <f aca="true" t="shared" si="4" ref="D21:I21">(D19-C19)/C19</f>
        <v>0.14285714285714285</v>
      </c>
      <c r="E21" s="197">
        <f t="shared" si="4"/>
        <v>0.15</v>
      </c>
      <c r="F21" s="197">
        <f t="shared" si="4"/>
        <v>0.14130434782608695</v>
      </c>
      <c r="G21" s="197">
        <f t="shared" si="4"/>
        <v>0.06666666666666667</v>
      </c>
      <c r="H21" s="197">
        <f t="shared" si="4"/>
        <v>0.026785714285714284</v>
      </c>
      <c r="I21" s="197">
        <f t="shared" si="4"/>
        <v>0.017391304347826087</v>
      </c>
    </row>
    <row r="22" spans="1:9" ht="12.75">
      <c r="A22" s="179" t="s">
        <v>525</v>
      </c>
      <c r="B22" t="s">
        <v>100</v>
      </c>
      <c r="C22">
        <v>100</v>
      </c>
      <c r="D22">
        <v>50</v>
      </c>
      <c r="E22">
        <v>0</v>
      </c>
      <c r="F22">
        <v>-50</v>
      </c>
      <c r="G22">
        <v>-50</v>
      </c>
      <c r="H22">
        <v>0</v>
      </c>
      <c r="I22">
        <v>50</v>
      </c>
    </row>
    <row r="23" spans="2:9" ht="12.75">
      <c r="B23" t="s">
        <v>646</v>
      </c>
      <c r="C23">
        <v>5</v>
      </c>
      <c r="D23">
        <v>5</v>
      </c>
      <c r="E23">
        <v>5</v>
      </c>
      <c r="F23">
        <v>5</v>
      </c>
      <c r="G23">
        <v>5</v>
      </c>
      <c r="H23">
        <v>5</v>
      </c>
      <c r="I23">
        <v>6</v>
      </c>
    </row>
    <row r="24" spans="2:9" ht="12.75">
      <c r="B24" s="198" t="s">
        <v>942</v>
      </c>
      <c r="C24" s="197">
        <f aca="true" t="shared" si="5" ref="C24:I24">C23/C22</f>
        <v>0.05</v>
      </c>
      <c r="D24" s="197">
        <f t="shared" si="5"/>
        <v>0.1</v>
      </c>
      <c r="E24" s="366" t="s">
        <v>614</v>
      </c>
      <c r="F24" s="197">
        <f t="shared" si="5"/>
        <v>-0.1</v>
      </c>
      <c r="G24" s="197">
        <f t="shared" si="5"/>
        <v>-0.1</v>
      </c>
      <c r="H24" s="366" t="s">
        <v>614</v>
      </c>
      <c r="I24" s="197">
        <f t="shared" si="5"/>
        <v>0.12</v>
      </c>
    </row>
    <row r="25" spans="2:9" ht="12.75">
      <c r="B25" s="198" t="s">
        <v>647</v>
      </c>
      <c r="C25" s="13"/>
      <c r="D25" s="197">
        <f aca="true" t="shared" si="6" ref="D25:I25">(D23-C23)/C23</f>
        <v>0</v>
      </c>
      <c r="E25" s="197">
        <f t="shared" si="6"/>
        <v>0</v>
      </c>
      <c r="F25" s="197">
        <f t="shared" si="6"/>
        <v>0</v>
      </c>
      <c r="G25" s="197">
        <f t="shared" si="6"/>
        <v>0</v>
      </c>
      <c r="H25" s="197">
        <f t="shared" si="6"/>
        <v>0</v>
      </c>
      <c r="I25" s="197">
        <f t="shared" si="6"/>
        <v>0.2</v>
      </c>
    </row>
    <row r="26" spans="1:9" ht="12.75">
      <c r="A26" s="179" t="s">
        <v>526</v>
      </c>
      <c r="B26" t="s">
        <v>100</v>
      </c>
      <c r="C26">
        <v>500</v>
      </c>
      <c r="D26">
        <v>520</v>
      </c>
      <c r="E26">
        <v>550</v>
      </c>
      <c r="F26">
        <v>600</v>
      </c>
      <c r="G26">
        <v>500</v>
      </c>
      <c r="H26">
        <v>400</v>
      </c>
      <c r="I26">
        <v>300</v>
      </c>
    </row>
    <row r="27" spans="2:9" ht="12.75">
      <c r="B27" t="s">
        <v>646</v>
      </c>
      <c r="C27">
        <v>100</v>
      </c>
      <c r="D27">
        <v>80</v>
      </c>
      <c r="E27">
        <v>70</v>
      </c>
      <c r="F27">
        <v>100</v>
      </c>
      <c r="G27">
        <v>120</v>
      </c>
      <c r="H27">
        <v>150</v>
      </c>
      <c r="I27">
        <v>200</v>
      </c>
    </row>
    <row r="28" spans="2:9" ht="12.75">
      <c r="B28" s="198" t="s">
        <v>942</v>
      </c>
      <c r="C28" s="197">
        <f aca="true" t="shared" si="7" ref="C28:I28">C27/C26</f>
        <v>0.2</v>
      </c>
      <c r="D28" s="197">
        <f t="shared" si="7"/>
        <v>0.15384615384615385</v>
      </c>
      <c r="E28" s="197">
        <f t="shared" si="7"/>
        <v>0.12727272727272726</v>
      </c>
      <c r="F28" s="197">
        <f t="shared" si="7"/>
        <v>0.16666666666666666</v>
      </c>
      <c r="G28" s="197">
        <f t="shared" si="7"/>
        <v>0.24</v>
      </c>
      <c r="H28" s="197">
        <f t="shared" si="7"/>
        <v>0.375</v>
      </c>
      <c r="I28" s="197">
        <f t="shared" si="7"/>
        <v>0.6666666666666666</v>
      </c>
    </row>
    <row r="29" spans="2:9" ht="12.75">
      <c r="B29" s="198" t="s">
        <v>647</v>
      </c>
      <c r="C29" s="13"/>
      <c r="D29" s="197">
        <f aca="true" t="shared" si="8" ref="D29:I29">(D27-C27)/C27</f>
        <v>-0.2</v>
      </c>
      <c r="E29" s="197">
        <f t="shared" si="8"/>
        <v>-0.125</v>
      </c>
      <c r="F29" s="197">
        <f t="shared" si="8"/>
        <v>0.42857142857142855</v>
      </c>
      <c r="G29" s="197">
        <f t="shared" si="8"/>
        <v>0.2</v>
      </c>
      <c r="H29" s="197">
        <f t="shared" si="8"/>
        <v>0.25</v>
      </c>
      <c r="I29" s="197">
        <f t="shared" si="8"/>
        <v>0.3333333333333333</v>
      </c>
    </row>
    <row r="31" ht="14.25">
      <c r="A31" s="41" t="s">
        <v>648</v>
      </c>
    </row>
    <row r="32" spans="1:4" ht="14.25">
      <c r="A32" s="41"/>
      <c r="B32" s="106" t="s">
        <v>650</v>
      </c>
      <c r="C32" s="106" t="s">
        <v>651</v>
      </c>
      <c r="D32" s="106" t="s">
        <v>652</v>
      </c>
    </row>
    <row r="33" spans="1:22" ht="12.75">
      <c r="A33" s="207" t="s">
        <v>205</v>
      </c>
      <c r="B33" s="210">
        <v>100000000</v>
      </c>
      <c r="C33" s="210">
        <f aca="true" t="shared" si="9" ref="C33:D36">B33</f>
        <v>100000000</v>
      </c>
      <c r="D33" s="210">
        <f t="shared" si="9"/>
        <v>100000000</v>
      </c>
      <c r="E33" s="207"/>
      <c r="F33" s="207"/>
      <c r="G33" s="207"/>
      <c r="H33" s="207"/>
      <c r="I33" s="207"/>
      <c r="J33" s="207"/>
      <c r="K33" s="207"/>
      <c r="L33" s="207"/>
      <c r="M33" s="207"/>
      <c r="N33" s="207"/>
      <c r="O33" s="207"/>
      <c r="P33" s="207"/>
      <c r="Q33" s="207"/>
      <c r="R33" s="207"/>
      <c r="S33" s="207"/>
      <c r="T33" s="207"/>
      <c r="U33" s="207"/>
      <c r="V33" s="207"/>
    </row>
    <row r="34" spans="1:4" ht="12.75">
      <c r="A34" t="s">
        <v>157</v>
      </c>
      <c r="B34" s="210">
        <v>1000000</v>
      </c>
      <c r="C34" s="210">
        <f t="shared" si="9"/>
        <v>1000000</v>
      </c>
      <c r="D34" s="210">
        <f t="shared" si="9"/>
        <v>1000000</v>
      </c>
    </row>
    <row r="35" spans="1:4" ht="12.75">
      <c r="A35" t="s">
        <v>110</v>
      </c>
      <c r="B35" s="210">
        <v>1000</v>
      </c>
      <c r="C35" s="210">
        <f t="shared" si="9"/>
        <v>1000</v>
      </c>
      <c r="D35" s="210">
        <f t="shared" si="9"/>
        <v>1000</v>
      </c>
    </row>
    <row r="36" spans="1:4" ht="12.75">
      <c r="A36" t="s">
        <v>649</v>
      </c>
      <c r="B36" s="210">
        <v>1200000000</v>
      </c>
      <c r="C36" s="210">
        <f t="shared" si="9"/>
        <v>1200000000</v>
      </c>
      <c r="D36" s="210">
        <f t="shared" si="9"/>
        <v>1200000000</v>
      </c>
    </row>
    <row r="37" ht="12.75">
      <c r="A37"/>
    </row>
    <row r="38" ht="12.75">
      <c r="A38" t="s">
        <v>653</v>
      </c>
    </row>
    <row r="39" spans="1:4" ht="12.75">
      <c r="A39" t="s">
        <v>157</v>
      </c>
      <c r="B39" s="210"/>
      <c r="C39" s="210">
        <f>C34/4</f>
        <v>250000</v>
      </c>
      <c r="D39" s="210">
        <f>C39</f>
        <v>250000</v>
      </c>
    </row>
    <row r="40" spans="1:4" ht="12.75">
      <c r="A40" t="s">
        <v>216</v>
      </c>
      <c r="B40" s="210"/>
      <c r="C40" s="210">
        <v>500</v>
      </c>
      <c r="D40" s="210">
        <v>1500</v>
      </c>
    </row>
    <row r="41" spans="1:4" ht="12.75">
      <c r="A41" t="s">
        <v>654</v>
      </c>
      <c r="B41" s="87"/>
      <c r="C41" s="87">
        <v>0.05</v>
      </c>
      <c r="D41" s="87">
        <f>C41</f>
        <v>0.05</v>
      </c>
    </row>
    <row r="42" ht="12.75">
      <c r="A42"/>
    </row>
    <row r="43" spans="1:4" ht="12.75">
      <c r="A43" s="1" t="s">
        <v>100</v>
      </c>
      <c r="B43" s="211">
        <f>(B33-B40*B39*B41)/(B34-B39)</f>
        <v>100</v>
      </c>
      <c r="C43" s="211">
        <f>(C33-C40*C39*C41)/(C34-C39)</f>
        <v>125</v>
      </c>
      <c r="D43" s="211">
        <f>(D33-D40*D39*D41)/(D34-D39)</f>
        <v>108.33333333333333</v>
      </c>
    </row>
    <row r="44" spans="1:4" ht="12.75">
      <c r="A44"/>
      <c r="B44" s="211"/>
      <c r="C44" s="212">
        <f>(C43-$B43)/$B43</f>
        <v>0.25</v>
      </c>
      <c r="D44" s="212">
        <f>(D43-$B43)/$B43</f>
        <v>0.08333333333333329</v>
      </c>
    </row>
    <row r="45" spans="1:4" ht="12.75">
      <c r="A45" s="1" t="s">
        <v>655</v>
      </c>
      <c r="B45" s="211">
        <f>(B36-B39*B40)/(B34-B39)</f>
        <v>1200</v>
      </c>
      <c r="C45" s="211">
        <f>(C36-C39*C40)/(C34-C39)</f>
        <v>1433.3333333333333</v>
      </c>
      <c r="D45" s="211">
        <f>(D36-D39*D40)/(D34-D39)</f>
        <v>1100</v>
      </c>
    </row>
    <row r="46" spans="1:4" ht="12.75">
      <c r="A46"/>
      <c r="C46" s="212">
        <f>(C45-$B45)/$B45</f>
        <v>0.1944444444444444</v>
      </c>
      <c r="D46" s="212">
        <f>(D45-$B45)/$B45</f>
        <v>-0.08333333333333333</v>
      </c>
    </row>
    <row r="47" ht="12.75">
      <c r="A47"/>
    </row>
    <row r="48" ht="14.25">
      <c r="A48" s="41" t="s">
        <v>490</v>
      </c>
    </row>
    <row r="49" spans="1:7" ht="38.25">
      <c r="A49"/>
      <c r="B49" s="213" t="s">
        <v>238</v>
      </c>
      <c r="C49" s="213" t="s">
        <v>266</v>
      </c>
      <c r="D49" s="213" t="s">
        <v>657</v>
      </c>
      <c r="E49" s="213" t="s">
        <v>632</v>
      </c>
      <c r="F49" s="213" t="s">
        <v>1115</v>
      </c>
      <c r="G49" s="213" t="s">
        <v>656</v>
      </c>
    </row>
    <row r="50" spans="1:7" ht="12.75">
      <c r="A50">
        <v>1997</v>
      </c>
      <c r="B50">
        <v>170</v>
      </c>
      <c r="C50">
        <v>8</v>
      </c>
      <c r="D50">
        <v>9</v>
      </c>
      <c r="E50">
        <v>50</v>
      </c>
      <c r="F50">
        <v>60</v>
      </c>
      <c r="G50">
        <v>55</v>
      </c>
    </row>
    <row r="51" spans="1:7" ht="12.75">
      <c r="A51">
        <f>A50+1</f>
        <v>1998</v>
      </c>
      <c r="B51">
        <v>130</v>
      </c>
      <c r="C51">
        <v>10</v>
      </c>
      <c r="D51">
        <v>10</v>
      </c>
      <c r="E51">
        <v>60</v>
      </c>
      <c r="F51">
        <v>70</v>
      </c>
      <c r="G51">
        <v>90</v>
      </c>
    </row>
    <row r="52" spans="1:7" ht="12.75">
      <c r="A52">
        <f>A51+1</f>
        <v>1999</v>
      </c>
      <c r="B52">
        <v>170</v>
      </c>
      <c r="C52">
        <v>11</v>
      </c>
      <c r="D52">
        <v>10</v>
      </c>
      <c r="E52">
        <v>71</v>
      </c>
      <c r="F52">
        <v>75</v>
      </c>
      <c r="G52">
        <v>152</v>
      </c>
    </row>
    <row r="53" spans="1:7" ht="12.75">
      <c r="A53">
        <f>A52+1</f>
        <v>2000</v>
      </c>
      <c r="B53">
        <v>220</v>
      </c>
      <c r="C53">
        <v>13</v>
      </c>
      <c r="D53">
        <v>9</v>
      </c>
      <c r="E53">
        <v>84</v>
      </c>
      <c r="F53">
        <v>76</v>
      </c>
      <c r="G53">
        <v>195</v>
      </c>
    </row>
    <row r="54" spans="1:7" ht="12.75">
      <c r="A54">
        <f>A53+1</f>
        <v>2001</v>
      </c>
      <c r="B54">
        <v>230</v>
      </c>
      <c r="C54">
        <v>13</v>
      </c>
      <c r="D54">
        <v>7</v>
      </c>
      <c r="E54">
        <v>97</v>
      </c>
      <c r="F54">
        <v>70</v>
      </c>
      <c r="G54">
        <v>210</v>
      </c>
    </row>
    <row r="55" spans="1:7" ht="12.75">
      <c r="A55">
        <f>A54+1</f>
        <v>2002</v>
      </c>
      <c r="B55">
        <v>240</v>
      </c>
      <c r="C55">
        <v>13</v>
      </c>
      <c r="D55">
        <v>6</v>
      </c>
      <c r="E55">
        <v>110</v>
      </c>
      <c r="F55">
        <v>65</v>
      </c>
      <c r="G55">
        <v>200</v>
      </c>
    </row>
    <row r="56" ht="12.75">
      <c r="A56"/>
    </row>
    <row r="57" spans="1:2" ht="12.75">
      <c r="A57" t="s">
        <v>157</v>
      </c>
      <c r="B57" s="210">
        <v>1000000</v>
      </c>
    </row>
    <row r="58" spans="1:2" ht="12.75">
      <c r="A58" t="s">
        <v>232</v>
      </c>
      <c r="B58" s="47">
        <v>0.33</v>
      </c>
    </row>
    <row r="59" ht="12.75">
      <c r="A59"/>
    </row>
    <row r="60" spans="1:3" ht="12.75">
      <c r="A60" t="s">
        <v>521</v>
      </c>
      <c r="B60" s="4" t="s">
        <v>1152</v>
      </c>
      <c r="C60" s="4" t="s">
        <v>658</v>
      </c>
    </row>
    <row r="61" spans="1:3" ht="12.75">
      <c r="A61">
        <f aca="true" t="shared" si="10" ref="A61:A66">A50</f>
        <v>1997</v>
      </c>
      <c r="B61" s="67">
        <f aca="true" t="shared" si="11" ref="B61:B66">(C50+D50*(1-B$58))/(E50+F50)</f>
        <v>0.12754545454545455</v>
      </c>
      <c r="C61" s="67">
        <f aca="true" t="shared" si="12" ref="C61:C66">C50/E50</f>
        <v>0.16</v>
      </c>
    </row>
    <row r="62" spans="1:3" ht="12.75">
      <c r="A62">
        <f t="shared" si="10"/>
        <v>1998</v>
      </c>
      <c r="B62" s="67">
        <f t="shared" si="11"/>
        <v>0.12846153846153846</v>
      </c>
      <c r="C62" s="67">
        <f t="shared" si="12"/>
        <v>0.16666666666666666</v>
      </c>
    </row>
    <row r="63" spans="1:3" ht="12.75">
      <c r="A63">
        <f t="shared" si="10"/>
        <v>1999</v>
      </c>
      <c r="B63" s="67">
        <f t="shared" si="11"/>
        <v>0.12123287671232877</v>
      </c>
      <c r="C63" s="67">
        <f t="shared" si="12"/>
        <v>0.15492957746478872</v>
      </c>
    </row>
    <row r="64" spans="1:3" ht="12.75">
      <c r="A64">
        <f t="shared" si="10"/>
        <v>2000</v>
      </c>
      <c r="B64" s="67">
        <f t="shared" si="11"/>
        <v>0.1189375</v>
      </c>
      <c r="C64" s="67">
        <f t="shared" si="12"/>
        <v>0.15476190476190477</v>
      </c>
    </row>
    <row r="65" spans="1:3" ht="12.75">
      <c r="A65">
        <f t="shared" si="10"/>
        <v>2001</v>
      </c>
      <c r="B65" s="67">
        <f t="shared" si="11"/>
        <v>0.10592814371257483</v>
      </c>
      <c r="C65" s="67">
        <f t="shared" si="12"/>
        <v>0.13402061855670103</v>
      </c>
    </row>
    <row r="66" spans="1:3" ht="12.75">
      <c r="A66">
        <f t="shared" si="10"/>
        <v>2002</v>
      </c>
      <c r="B66" s="67">
        <f t="shared" si="11"/>
        <v>0.09725714285714286</v>
      </c>
      <c r="C66" s="67">
        <f t="shared" si="12"/>
        <v>0.11818181818181818</v>
      </c>
    </row>
    <row r="67" ht="12.75">
      <c r="A67"/>
    </row>
    <row r="68" ht="12.75">
      <c r="A68" t="s">
        <v>522</v>
      </c>
    </row>
    <row r="69" spans="1:2" ht="12.75">
      <c r="A69"/>
      <c r="B69" t="s">
        <v>660</v>
      </c>
    </row>
    <row r="70" spans="1:2" ht="12.75">
      <c r="A70" s="3">
        <f>A62</f>
        <v>1998</v>
      </c>
      <c r="B70" s="47">
        <f>(C51-C50)/(E51-E50)</f>
        <v>0.2</v>
      </c>
    </row>
    <row r="71" spans="1:2" ht="12.75">
      <c r="A71" s="3">
        <f>A63</f>
        <v>1999</v>
      </c>
      <c r="B71" s="47">
        <f>(C52-C51)/(E52-E51)</f>
        <v>0.09090909090909091</v>
      </c>
    </row>
    <row r="72" spans="1:2" ht="12.75">
      <c r="A72" s="3">
        <f>A64</f>
        <v>2000</v>
      </c>
      <c r="B72" s="47">
        <f>(C53-C52)/(E53-E52)</f>
        <v>0.15384615384615385</v>
      </c>
    </row>
    <row r="73" spans="1:2" ht="12.75">
      <c r="A73" s="3">
        <f>A65</f>
        <v>2001</v>
      </c>
      <c r="B73" s="47">
        <f>(C54-C53)/(E54-E53)</f>
        <v>0</v>
      </c>
    </row>
    <row r="74" spans="1:2" ht="12.75">
      <c r="A74" s="3">
        <f>A66</f>
        <v>2002</v>
      </c>
      <c r="B74" s="47">
        <f>(C55-C54)/(E55-E54)</f>
        <v>0</v>
      </c>
    </row>
    <row r="75" ht="12.75">
      <c r="A75" s="3"/>
    </row>
    <row r="76" ht="12.75">
      <c r="A76" s="30" t="s">
        <v>659</v>
      </c>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2" ht="12.75">
      <c r="A92"/>
    </row>
    <row r="93" ht="12.75">
      <c r="A93"/>
    </row>
    <row r="94" ht="12.75">
      <c r="A94"/>
    </row>
    <row r="95" ht="12.75">
      <c r="A95"/>
    </row>
    <row r="96" ht="12.75">
      <c r="A96"/>
    </row>
    <row r="97" ht="12.75">
      <c r="A97"/>
    </row>
    <row r="98" ht="12.75">
      <c r="A98"/>
    </row>
    <row r="99" ht="12.75">
      <c r="A99"/>
    </row>
    <row r="100" ht="12.75">
      <c r="A100"/>
    </row>
    <row r="101" ht="12.75">
      <c r="A101"/>
    </row>
  </sheetData>
  <printOptions/>
  <pageMargins left="0.7874015748031497" right="0.7874015748031497" top="0.984251968503937" bottom="0.984251968503937" header="0.5118110236220472" footer="0.5118110236220472"/>
  <pageSetup fitToHeight="2"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1:F103"/>
  <sheetViews>
    <sheetView showGridLines="0" zoomScale="75" zoomScaleNormal="75" workbookViewId="0" topLeftCell="A1">
      <selection activeCell="A1" sqref="A1"/>
    </sheetView>
  </sheetViews>
  <sheetFormatPr defaultColWidth="11.00390625" defaultRowHeight="12.75"/>
  <cols>
    <col min="1" max="1" width="26.375" style="178" customWidth="1"/>
    <col min="4" max="4" width="15.50390625" style="0" bestFit="1" customWidth="1"/>
    <col min="5" max="5" width="12.00390625" style="0" bestFit="1" customWidth="1"/>
  </cols>
  <sheetData>
    <row r="1" spans="1:3" ht="21">
      <c r="A1" s="41" t="s">
        <v>370</v>
      </c>
      <c r="B1" s="64" t="s">
        <v>661</v>
      </c>
      <c r="C1" s="64" t="s">
        <v>662</v>
      </c>
    </row>
    <row r="2" spans="1:4" ht="12.75">
      <c r="A2" s="179" t="s">
        <v>1007</v>
      </c>
      <c r="B2" s="23">
        <v>100</v>
      </c>
      <c r="C2" s="23">
        <f>C7/B7*B2</f>
        <v>200</v>
      </c>
      <c r="D2" t="s">
        <v>976</v>
      </c>
    </row>
    <row r="3" spans="1:4" ht="12.75">
      <c r="A3" s="179" t="s">
        <v>157</v>
      </c>
      <c r="B3">
        <v>1</v>
      </c>
      <c r="C3">
        <f>B3</f>
        <v>1</v>
      </c>
      <c r="D3" t="s">
        <v>16</v>
      </c>
    </row>
    <row r="5" spans="1:4" ht="12.75">
      <c r="A5" s="179" t="s">
        <v>666</v>
      </c>
      <c r="B5" s="23">
        <v>25</v>
      </c>
      <c r="C5" s="23">
        <f>B5</f>
        <v>25</v>
      </c>
      <c r="D5" t="s">
        <v>976</v>
      </c>
    </row>
    <row r="6" spans="1:4" ht="12.75">
      <c r="A6" s="179" t="s">
        <v>665</v>
      </c>
      <c r="B6" s="47">
        <v>0.25</v>
      </c>
      <c r="C6" s="87">
        <f>B7/C7*B6</f>
        <v>0.125</v>
      </c>
      <c r="D6" t="s">
        <v>1007</v>
      </c>
    </row>
    <row r="7" spans="1:4" ht="12.75">
      <c r="A7" s="179" t="s">
        <v>663</v>
      </c>
      <c r="B7" s="23">
        <v>75</v>
      </c>
      <c r="C7" s="23">
        <v>150</v>
      </c>
      <c r="D7" t="s">
        <v>931</v>
      </c>
    </row>
    <row r="8" spans="1:3" ht="12.75">
      <c r="A8" s="179" t="s">
        <v>155</v>
      </c>
      <c r="B8" s="23">
        <f>B3*B7/B5</f>
        <v>3</v>
      </c>
      <c r="C8" s="23">
        <f>C3*C7/C5</f>
        <v>6</v>
      </c>
    </row>
    <row r="10" spans="1:4" ht="12.75">
      <c r="A10" s="183" t="s">
        <v>664</v>
      </c>
      <c r="B10" s="40">
        <f>(B2/B3-B7)/(1+B8)</f>
        <v>6.25</v>
      </c>
      <c r="C10" s="40">
        <f>(C2/C3-C7)/(1+C8)</f>
        <v>7.142857142857143</v>
      </c>
      <c r="D10" s="1" t="s">
        <v>931</v>
      </c>
    </row>
    <row r="12" ht="12.75">
      <c r="A12" s="154" t="s">
        <v>667</v>
      </c>
    </row>
    <row r="13" spans="1:3" s="235" customFormat="1" ht="12.75">
      <c r="A13" s="363" t="s">
        <v>668</v>
      </c>
      <c r="B13" s="367">
        <f>(B6/B7)/(B3/B2+B6/B7)</f>
        <v>0.25</v>
      </c>
      <c r="C13" s="367">
        <f>(C6/C7)/(C3/C2+C6/C7)</f>
        <v>0.14285714285714285</v>
      </c>
    </row>
    <row r="14" spans="1:3" s="235" customFormat="1" ht="12.75">
      <c r="A14" s="363" t="s">
        <v>669</v>
      </c>
      <c r="B14" s="367">
        <f>B6/(1+B6)</f>
        <v>0.2</v>
      </c>
      <c r="C14" s="367">
        <f>C6/(1+C6)</f>
        <v>0.1111111111111111</v>
      </c>
    </row>
    <row r="15" spans="1:3" s="235" customFormat="1" ht="12.75">
      <c r="A15" s="363" t="s">
        <v>670</v>
      </c>
      <c r="B15" s="368">
        <f>B13-B14</f>
        <v>0.04999999999999999</v>
      </c>
      <c r="C15" s="368">
        <f>C13-C14</f>
        <v>0.031746031746031744</v>
      </c>
    </row>
    <row r="16" s="235" customFormat="1" ht="12.75">
      <c r="A16" s="362"/>
    </row>
    <row r="17" spans="1:3" s="235" customFormat="1" ht="12.75">
      <c r="A17" s="363" t="s">
        <v>671</v>
      </c>
      <c r="B17" s="369">
        <f>(B2+B5)/((B3+B5/B7)*B2/B3)</f>
        <v>0.9375000000000001</v>
      </c>
      <c r="C17" s="369">
        <f>(C2+C5)/((C3+C5/C7)*C2/C3)</f>
        <v>0.9642857142857143</v>
      </c>
    </row>
    <row r="19" spans="1:3" ht="12.75">
      <c r="A19" s="179" t="s">
        <v>155</v>
      </c>
      <c r="B19" s="23">
        <f>B8</f>
        <v>3</v>
      </c>
      <c r="C19" s="23">
        <f>C8</f>
        <v>6</v>
      </c>
    </row>
    <row r="21" ht="12.75">
      <c r="A21" s="154" t="s">
        <v>672</v>
      </c>
    </row>
    <row r="22" spans="1:3" ht="12.75">
      <c r="A22" s="179" t="s">
        <v>673</v>
      </c>
      <c r="B22">
        <v>90</v>
      </c>
      <c r="C22">
        <v>90</v>
      </c>
    </row>
    <row r="24" spans="1:3" ht="12.75">
      <c r="A24" s="179" t="s">
        <v>674</v>
      </c>
      <c r="B24">
        <v>72</v>
      </c>
      <c r="C24">
        <v>72</v>
      </c>
    </row>
    <row r="25" spans="1:4" ht="25.5">
      <c r="A25" s="179" t="s">
        <v>675</v>
      </c>
      <c r="B25" s="50">
        <f>B24*B10</f>
        <v>450</v>
      </c>
      <c r="C25" s="50">
        <f>C24*C10</f>
        <v>514.2857142857143</v>
      </c>
      <c r="D25" t="s">
        <v>931</v>
      </c>
    </row>
    <row r="26" spans="1:4" ht="25.5">
      <c r="A26" s="179" t="s">
        <v>676</v>
      </c>
      <c r="B26" s="50">
        <f>B7*(B22-B24)/B8</f>
        <v>450</v>
      </c>
      <c r="C26" s="50">
        <f>C7*(C22-C24)/C8</f>
        <v>450</v>
      </c>
      <c r="D26" t="s">
        <v>931</v>
      </c>
    </row>
    <row r="27" spans="1:4" ht="12.75">
      <c r="A27" s="179" t="s">
        <v>677</v>
      </c>
      <c r="B27" s="50">
        <f>B25-B26</f>
        <v>0</v>
      </c>
      <c r="C27" s="50">
        <f>C25-C26</f>
        <v>64.28571428571433</v>
      </c>
      <c r="D27" t="s">
        <v>931</v>
      </c>
    </row>
    <row r="28" spans="1:4" ht="25.5">
      <c r="A28" s="183" t="s">
        <v>678</v>
      </c>
      <c r="B28" s="1">
        <f>B26/B7</f>
        <v>6</v>
      </c>
      <c r="C28" s="1">
        <f>C26/C7</f>
        <v>3</v>
      </c>
      <c r="D28" s="1" t="s">
        <v>491</v>
      </c>
    </row>
    <row r="30" ht="12.75">
      <c r="A30" s="154" t="s">
        <v>681</v>
      </c>
    </row>
    <row r="31" spans="1:3" ht="12.75">
      <c r="A31" s="179" t="s">
        <v>679</v>
      </c>
      <c r="B31" s="112">
        <f>B22/B3/1000000</f>
        <v>9E-05</v>
      </c>
      <c r="C31" s="112">
        <f>C22/C3/1000000</f>
        <v>9E-05</v>
      </c>
    </row>
    <row r="33" spans="1:4" ht="12.75">
      <c r="A33" s="183" t="s">
        <v>680</v>
      </c>
      <c r="B33" s="132">
        <f>B31*(1-B14)</f>
        <v>7.2E-05</v>
      </c>
      <c r="C33" s="132">
        <f>C31*(1-C14)</f>
        <v>8E-05</v>
      </c>
      <c r="D33" s="200"/>
    </row>
    <row r="34" spans="1:4" ht="12.75">
      <c r="A34" s="183"/>
      <c r="B34" s="132">
        <f>(B22+B28)/(B3*1000000*(1+1/B19))</f>
        <v>7.2E-05</v>
      </c>
      <c r="C34" s="132">
        <f>(C22+C28)/(C3*1000000*(1+1/C19))</f>
        <v>7.97142857142857E-05</v>
      </c>
      <c r="D34" s="200"/>
    </row>
    <row r="36" ht="12.75">
      <c r="A36" s="154" t="s">
        <v>682</v>
      </c>
    </row>
    <row r="38" spans="1:3" ht="25.5">
      <c r="A38" s="179" t="s">
        <v>683</v>
      </c>
      <c r="B38" s="47">
        <v>0.12</v>
      </c>
      <c r="C38" s="47">
        <v>0.12</v>
      </c>
    </row>
    <row r="39" spans="1:4" ht="12.75">
      <c r="A39" s="179" t="s">
        <v>150</v>
      </c>
      <c r="B39" s="50">
        <f>B6*B2</f>
        <v>25</v>
      </c>
      <c r="C39" s="50">
        <f>C6*C2</f>
        <v>25</v>
      </c>
      <c r="D39" t="s">
        <v>976</v>
      </c>
    </row>
    <row r="40" spans="1:3" ht="12.75">
      <c r="A40" s="179" t="s">
        <v>684</v>
      </c>
      <c r="B40" s="47">
        <f>B38</f>
        <v>0.12</v>
      </c>
      <c r="C40" s="47">
        <f>C38</f>
        <v>0.12</v>
      </c>
    </row>
    <row r="41" spans="1:3" ht="12.75">
      <c r="A41" s="179" t="s">
        <v>685</v>
      </c>
      <c r="B41">
        <f>B39*B40/B7*1000000</f>
        <v>40000</v>
      </c>
      <c r="C41">
        <f>C39*C40/C7*1000000</f>
        <v>20000</v>
      </c>
    </row>
    <row r="43" spans="1:3" ht="25.5">
      <c r="A43" s="183" t="s">
        <v>686</v>
      </c>
      <c r="B43" s="199">
        <f>(B38*B3*1000000+B41)/(B3*1000000+B39*1000000/B7)</f>
        <v>0.12000000000000001</v>
      </c>
      <c r="C43" s="199">
        <f>(C38*C3*1000000+C41)/(C3*1000000+C39*1000000/C7)</f>
        <v>0.12</v>
      </c>
    </row>
    <row r="45" ht="12.75">
      <c r="A45" s="154" t="s">
        <v>687</v>
      </c>
    </row>
    <row r="46" spans="1:4" ht="12.75">
      <c r="A46" s="179" t="s">
        <v>688</v>
      </c>
      <c r="B46" s="50">
        <v>10</v>
      </c>
      <c r="C46" s="50">
        <v>10</v>
      </c>
      <c r="D46" t="s">
        <v>931</v>
      </c>
    </row>
    <row r="47" spans="1:4" ht="12.75">
      <c r="A47" s="183" t="s">
        <v>687</v>
      </c>
      <c r="B47" s="40">
        <f>B46*(1-B13)</f>
        <v>7.5</v>
      </c>
      <c r="C47" s="40">
        <f>C46*(1-C13)</f>
        <v>8.571428571428573</v>
      </c>
      <c r="D47" s="1" t="s">
        <v>931</v>
      </c>
    </row>
    <row r="49" ht="12.75">
      <c r="A49" s="154" t="s">
        <v>689</v>
      </c>
    </row>
    <row r="50" spans="1:4" ht="12.75">
      <c r="A50" s="179" t="s">
        <v>690</v>
      </c>
      <c r="B50" s="50">
        <v>80</v>
      </c>
      <c r="C50" s="50">
        <v>80</v>
      </c>
      <c r="D50" t="s">
        <v>976</v>
      </c>
    </row>
    <row r="51" spans="1:4" ht="12.75">
      <c r="A51" s="179" t="s">
        <v>691</v>
      </c>
      <c r="B51" s="50">
        <f>B50+B39</f>
        <v>105</v>
      </c>
      <c r="C51" s="50">
        <f>C50+C39</f>
        <v>105</v>
      </c>
      <c r="D51" t="s">
        <v>976</v>
      </c>
    </row>
    <row r="52" spans="1:3" ht="12.75">
      <c r="A52" s="183" t="s">
        <v>689</v>
      </c>
      <c r="B52" s="99">
        <f>(B51-B50)/B50</f>
        <v>0.3125</v>
      </c>
      <c r="C52" s="99">
        <f>(C51-C50)/C50</f>
        <v>0.3125</v>
      </c>
    </row>
    <row r="54" spans="1:4" ht="12.75">
      <c r="A54" s="183" t="s">
        <v>692</v>
      </c>
      <c r="B54" s="40">
        <f>B50/B3</f>
        <v>80</v>
      </c>
      <c r="C54" s="40">
        <f>C50/C3</f>
        <v>80</v>
      </c>
      <c r="D54" t="s">
        <v>931</v>
      </c>
    </row>
    <row r="55" spans="1:4" ht="12.75">
      <c r="A55" s="183" t="s">
        <v>693</v>
      </c>
      <c r="B55" s="40">
        <f>B51/(B3+B2*B6/B7)</f>
        <v>78.75</v>
      </c>
      <c r="C55" s="40">
        <f>C51/(C3+C2*C6/C7)</f>
        <v>90</v>
      </c>
      <c r="D55" t="s">
        <v>931</v>
      </c>
    </row>
    <row r="58" ht="14.25">
      <c r="A58" s="41" t="s">
        <v>694</v>
      </c>
    </row>
    <row r="59" spans="1:5" ht="12.75">
      <c r="A59" s="201" t="s">
        <v>695</v>
      </c>
      <c r="B59" s="53">
        <v>1999</v>
      </c>
      <c r="C59" s="53">
        <v>2000</v>
      </c>
      <c r="D59" s="53" t="s">
        <v>698</v>
      </c>
      <c r="E59" s="53"/>
    </row>
    <row r="60" spans="1:5" ht="12.75">
      <c r="A60" s="179" t="s">
        <v>696</v>
      </c>
      <c r="B60" s="23">
        <v>65.6</v>
      </c>
      <c r="C60" s="23">
        <v>79.6</v>
      </c>
      <c r="D60" s="23">
        <v>45.7</v>
      </c>
      <c r="E60" s="23"/>
    </row>
    <row r="61" spans="1:5" ht="12.75">
      <c r="A61" s="179" t="s">
        <v>1116</v>
      </c>
      <c r="B61" s="23">
        <v>-1.2</v>
      </c>
      <c r="C61" s="23">
        <v>-17.3</v>
      </c>
      <c r="D61" s="23">
        <v>-8.7</v>
      </c>
      <c r="E61" s="23"/>
    </row>
    <row r="62" spans="1:5" ht="12.75">
      <c r="A62" s="179" t="s">
        <v>237</v>
      </c>
      <c r="B62" s="23">
        <v>1</v>
      </c>
      <c r="C62" s="23">
        <v>1</v>
      </c>
      <c r="D62" s="23">
        <v>1</v>
      </c>
      <c r="E62" s="23"/>
    </row>
    <row r="63" spans="1:5" ht="12.75">
      <c r="A63" s="179" t="s">
        <v>697</v>
      </c>
      <c r="B63" s="23">
        <v>7.1</v>
      </c>
      <c r="C63" s="23">
        <v>-41.7</v>
      </c>
      <c r="D63" s="23">
        <v>-4.7</v>
      </c>
      <c r="E63" s="23"/>
    </row>
    <row r="64" spans="1:5" ht="12.75">
      <c r="A64" s="179" t="s">
        <v>206</v>
      </c>
      <c r="B64" s="23">
        <v>2.1</v>
      </c>
      <c r="C64" s="23">
        <v>-1.5</v>
      </c>
      <c r="D64" s="23">
        <v>0</v>
      </c>
      <c r="E64" s="23"/>
    </row>
    <row r="65" spans="1:5" ht="12.75">
      <c r="A65" s="179"/>
      <c r="B65" s="25">
        <f>-B64/(B66-B64)</f>
        <v>-3.0000000000000013</v>
      </c>
      <c r="C65" s="25">
        <f>-C64/(C66-C64)</f>
        <v>-0.02631578947368421</v>
      </c>
      <c r="D65" s="25">
        <f>-D64/(D66-D64)</f>
        <v>0</v>
      </c>
      <c r="E65" s="23"/>
    </row>
    <row r="66" spans="1:5" ht="12.75">
      <c r="A66" s="179" t="s">
        <v>599</v>
      </c>
      <c r="B66" s="23">
        <v>2.8</v>
      </c>
      <c r="C66" s="23">
        <v>-58.5</v>
      </c>
      <c r="D66" s="23">
        <v>-14.4</v>
      </c>
      <c r="E66" s="23"/>
    </row>
    <row r="67" spans="2:5" ht="12.75">
      <c r="B67" s="23"/>
      <c r="C67" s="23"/>
      <c r="D67" s="23"/>
      <c r="E67" s="58"/>
    </row>
    <row r="68" spans="1:5" ht="12.75">
      <c r="A68" s="201" t="s">
        <v>284</v>
      </c>
      <c r="B68" s="38"/>
      <c r="C68" s="38"/>
      <c r="D68" s="58"/>
      <c r="E68" s="58"/>
    </row>
    <row r="69" spans="1:5" ht="12.75">
      <c r="A69" s="179" t="s">
        <v>699</v>
      </c>
      <c r="B69" s="23">
        <v>40.4</v>
      </c>
      <c r="C69" s="23">
        <v>35.4</v>
      </c>
      <c r="D69" s="58"/>
      <c r="E69" s="58"/>
    </row>
    <row r="70" spans="1:5" ht="12.75">
      <c r="A70" s="179" t="s">
        <v>24</v>
      </c>
      <c r="B70" s="23">
        <v>5.3</v>
      </c>
      <c r="C70" s="23">
        <v>2</v>
      </c>
      <c r="D70" s="58"/>
      <c r="E70" s="58"/>
    </row>
    <row r="71" spans="1:5" ht="12.75">
      <c r="A71" s="179" t="s">
        <v>700</v>
      </c>
      <c r="B71" s="23">
        <v>2.5</v>
      </c>
      <c r="C71" s="23">
        <v>2.4</v>
      </c>
      <c r="D71" s="58"/>
      <c r="E71" s="23"/>
    </row>
    <row r="72" spans="1:5" ht="12.75">
      <c r="A72" s="179" t="s">
        <v>701</v>
      </c>
      <c r="B72" s="23">
        <v>26.7</v>
      </c>
      <c r="C72" s="23">
        <v>27.3</v>
      </c>
      <c r="D72" s="58"/>
      <c r="E72" s="23"/>
    </row>
    <row r="73" spans="1:5" ht="12.75">
      <c r="A73" s="179" t="s">
        <v>702</v>
      </c>
      <c r="B73" s="23">
        <v>8.2</v>
      </c>
      <c r="C73" s="23">
        <v>3.8</v>
      </c>
      <c r="D73" s="58"/>
      <c r="E73" s="23"/>
    </row>
    <row r="74" spans="2:5" ht="12.75">
      <c r="B74" s="23"/>
      <c r="C74" s="23"/>
      <c r="D74" s="23"/>
      <c r="E74" s="23"/>
    </row>
    <row r="75" spans="1:5" ht="12.75">
      <c r="A75" s="201" t="s">
        <v>703</v>
      </c>
      <c r="B75" s="38"/>
      <c r="C75" s="38"/>
      <c r="D75" s="58"/>
      <c r="E75" s="58"/>
    </row>
    <row r="76" spans="1:5" ht="12.75">
      <c r="A76" s="179" t="s">
        <v>82</v>
      </c>
      <c r="B76" s="23">
        <v>13.7</v>
      </c>
      <c r="C76" s="23">
        <v>-1</v>
      </c>
      <c r="D76" s="58"/>
      <c r="E76" s="58"/>
    </row>
    <row r="77" spans="1:5" ht="12.75">
      <c r="A77" s="179" t="s">
        <v>526</v>
      </c>
      <c r="B77" s="23">
        <v>27.1</v>
      </c>
      <c r="C77" s="23">
        <v>30.3</v>
      </c>
      <c r="D77" s="58"/>
      <c r="E77" s="58"/>
    </row>
    <row r="78" spans="1:5" ht="12.75">
      <c r="A78" s="179" t="s">
        <v>704</v>
      </c>
      <c r="B78" s="23">
        <v>42.3</v>
      </c>
      <c r="C78" s="23">
        <v>41.6</v>
      </c>
      <c r="D78" s="58"/>
      <c r="E78" s="58"/>
    </row>
    <row r="79" spans="1:5" ht="12.75">
      <c r="A79" s="179"/>
      <c r="B79" s="23"/>
      <c r="C79" s="23"/>
      <c r="D79" s="58"/>
      <c r="E79" s="58"/>
    </row>
    <row r="80" spans="1:5" ht="12.75">
      <c r="A80" s="179" t="s">
        <v>705</v>
      </c>
      <c r="B80" s="23">
        <v>0.48</v>
      </c>
      <c r="C80" s="23"/>
      <c r="D80" s="58"/>
      <c r="E80" s="58"/>
    </row>
    <row r="81" spans="1:5" ht="12.75">
      <c r="A81" s="179" t="s">
        <v>110</v>
      </c>
      <c r="B81" s="23">
        <v>0.61</v>
      </c>
      <c r="C81" s="23"/>
      <c r="D81" s="58"/>
      <c r="E81" s="58"/>
    </row>
    <row r="82" spans="1:5" ht="12.75">
      <c r="A82" s="179" t="s">
        <v>155</v>
      </c>
      <c r="B82" s="23">
        <f>2/9</f>
        <v>0.2222222222222222</v>
      </c>
      <c r="C82" s="23"/>
      <c r="D82" s="58"/>
      <c r="E82" s="58"/>
    </row>
    <row r="83" spans="1:5" ht="12.75">
      <c r="A83" s="179"/>
      <c r="B83" s="23"/>
      <c r="C83" s="23"/>
      <c r="D83" s="58"/>
      <c r="E83" s="58"/>
    </row>
    <row r="84" spans="1:5" ht="12.75">
      <c r="A84" s="179"/>
      <c r="B84" s="23"/>
      <c r="C84" s="23"/>
      <c r="D84" s="58"/>
      <c r="E84" s="58"/>
    </row>
    <row r="85" spans="1:5" ht="12.75">
      <c r="A85" s="179" t="s">
        <v>521</v>
      </c>
      <c r="B85" s="23"/>
      <c r="C85" s="23"/>
      <c r="D85" s="58"/>
      <c r="E85" s="58"/>
    </row>
    <row r="86" spans="1:5" ht="12.75">
      <c r="A86" s="179" t="s">
        <v>706</v>
      </c>
      <c r="B86" s="23"/>
      <c r="C86" s="23"/>
      <c r="D86" s="58"/>
      <c r="E86" s="58"/>
    </row>
    <row r="87" spans="1:5" ht="12.75">
      <c r="A87" s="209" t="s">
        <v>707</v>
      </c>
      <c r="B87" s="23"/>
      <c r="C87" s="23"/>
      <c r="D87" s="58"/>
      <c r="E87" s="58"/>
    </row>
    <row r="88" spans="1:5" ht="12.75">
      <c r="A88" s="179" t="s">
        <v>708</v>
      </c>
      <c r="B88" s="23"/>
      <c r="C88" s="23"/>
      <c r="D88" s="58"/>
      <c r="E88" s="58"/>
    </row>
    <row r="89" spans="1:5" ht="12.75">
      <c r="A89" s="179" t="s">
        <v>709</v>
      </c>
      <c r="B89" s="23"/>
      <c r="C89" s="23"/>
      <c r="D89" s="58"/>
      <c r="E89" s="58"/>
    </row>
    <row r="90" spans="1:5" ht="12.75">
      <c r="A90" s="209" t="s">
        <v>710</v>
      </c>
      <c r="B90" s="23"/>
      <c r="C90" s="23"/>
      <c r="D90" s="58"/>
      <c r="E90" s="58"/>
    </row>
    <row r="91" spans="1:5" ht="12.75">
      <c r="A91" s="179"/>
      <c r="B91" s="23"/>
      <c r="C91" s="23"/>
      <c r="D91" s="58"/>
      <c r="E91" s="58"/>
    </row>
    <row r="92" ht="12.75">
      <c r="A92" s="179" t="s">
        <v>522</v>
      </c>
    </row>
    <row r="93" spans="1:3" ht="12.75">
      <c r="A93" s="209" t="s">
        <v>711</v>
      </c>
      <c r="C93" s="23">
        <f>C76</f>
        <v>-1</v>
      </c>
    </row>
    <row r="94" spans="1:3" ht="12.75">
      <c r="A94" s="209" t="s">
        <v>712</v>
      </c>
      <c r="C94" s="23">
        <f>C93+C95</f>
        <v>20.79</v>
      </c>
    </row>
    <row r="95" spans="1:3" ht="12.75">
      <c r="A95" s="209" t="s">
        <v>150</v>
      </c>
      <c r="C95" s="23">
        <v>21.79</v>
      </c>
    </row>
    <row r="96" spans="1:3" ht="12.75">
      <c r="A96" s="179" t="s">
        <v>713</v>
      </c>
      <c r="C96" s="23">
        <f>0.61*10.08796</f>
        <v>6.1536556000000004</v>
      </c>
    </row>
    <row r="97" spans="1:3" ht="12.75">
      <c r="A97" s="179"/>
      <c r="C97" s="23"/>
    </row>
    <row r="98" ht="12.75">
      <c r="A98" s="179" t="s">
        <v>617</v>
      </c>
    </row>
    <row r="99" spans="1:3" ht="12.75">
      <c r="A99" s="179" t="s">
        <v>669</v>
      </c>
      <c r="C99" s="47">
        <f>C95/(C96+C95)</f>
        <v>0.7797834439385232</v>
      </c>
    </row>
    <row r="100" ht="12.75">
      <c r="A100" s="179"/>
    </row>
    <row r="101" ht="12.75">
      <c r="A101" s="179" t="s">
        <v>618</v>
      </c>
    </row>
    <row r="102" spans="1:6" ht="12.75">
      <c r="A102" s="179" t="s">
        <v>714</v>
      </c>
      <c r="C102" s="6">
        <f>(B81-B80)/(1+B82)</f>
        <v>0.10636363636363635</v>
      </c>
      <c r="D102" s="55"/>
      <c r="E102" s="55"/>
      <c r="F102" s="55"/>
    </row>
    <row r="103" spans="3:6" ht="12.75">
      <c r="C103" s="55"/>
      <c r="D103" s="55"/>
      <c r="E103" s="55"/>
      <c r="F103" s="55"/>
    </row>
  </sheetData>
  <printOptions/>
  <pageMargins left="0.7874015748031497" right="0.7874015748031497" top="0.984251968503937" bottom="0.984251968503937" header="0.5118110236220472" footer="0.5118110236220472"/>
  <pageSetup fitToHeight="6"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35.xml><?xml version="1.0" encoding="utf-8"?>
<worksheet xmlns="http://schemas.openxmlformats.org/spreadsheetml/2006/main" xmlns:r="http://schemas.openxmlformats.org/officeDocument/2006/relationships">
  <dimension ref="A1:H67"/>
  <sheetViews>
    <sheetView showGridLines="0" zoomScale="75" zoomScaleNormal="75" workbookViewId="0" topLeftCell="A1">
      <selection activeCell="A1" sqref="A1"/>
    </sheetView>
  </sheetViews>
  <sheetFormatPr defaultColWidth="11.00390625" defaultRowHeight="12.75"/>
  <cols>
    <col min="1" max="1" width="26.00390625" style="0" bestFit="1" customWidth="1"/>
    <col min="7" max="7" width="16.875" style="0" customWidth="1"/>
  </cols>
  <sheetData>
    <row r="1" ht="14.25">
      <c r="A1" s="41" t="s">
        <v>734</v>
      </c>
    </row>
    <row r="2" s="207" customFormat="1" ht="11.25"/>
    <row r="3" spans="1:8" ht="12.75">
      <c r="A3" t="s">
        <v>940</v>
      </c>
      <c r="B3" s="309">
        <v>120</v>
      </c>
      <c r="C3" s="309">
        <v>120</v>
      </c>
      <c r="D3" s="309" t="s">
        <v>723</v>
      </c>
      <c r="E3" s="309"/>
      <c r="F3" s="309"/>
      <c r="G3" s="309"/>
      <c r="H3" s="309"/>
    </row>
    <row r="5" spans="1:3" ht="12.75">
      <c r="A5" t="s">
        <v>715</v>
      </c>
      <c r="B5">
        <v>21</v>
      </c>
      <c r="C5">
        <v>14</v>
      </c>
    </row>
    <row r="6" spans="1:3" ht="12.75">
      <c r="A6" t="s">
        <v>122</v>
      </c>
      <c r="B6" s="395">
        <v>30</v>
      </c>
      <c r="C6" s="395"/>
    </row>
    <row r="7" spans="1:3" ht="12.75">
      <c r="A7" t="s">
        <v>177</v>
      </c>
      <c r="B7">
        <f>+B5*B6</f>
        <v>630</v>
      </c>
      <c r="C7">
        <f>+C5*B6</f>
        <v>420</v>
      </c>
    </row>
    <row r="8" spans="1:3" ht="12.75">
      <c r="A8" t="s">
        <v>716</v>
      </c>
      <c r="B8">
        <v>5</v>
      </c>
      <c r="C8">
        <v>5</v>
      </c>
    </row>
    <row r="10" spans="1:3" ht="12.75">
      <c r="A10" t="s">
        <v>1183</v>
      </c>
      <c r="B10" s="47">
        <v>0.25</v>
      </c>
      <c r="C10" s="47">
        <v>0.25</v>
      </c>
    </row>
    <row r="12" spans="1:3" ht="12.75">
      <c r="A12" s="1" t="s">
        <v>1177</v>
      </c>
      <c r="B12" s="126">
        <f>-B3+(B7)*POWER(1+B10,-B8)</f>
        <v>86.43840000000003</v>
      </c>
      <c r="C12" s="126">
        <f>-C3+(C7)*POWER(1+C10,-C8)</f>
        <v>17.62560000000002</v>
      </c>
    </row>
    <row r="15" ht="14.25">
      <c r="A15" s="41" t="s">
        <v>735</v>
      </c>
    </row>
    <row r="16" spans="1:7" ht="12.75">
      <c r="A16" t="s">
        <v>717</v>
      </c>
      <c r="B16" s="127">
        <v>1</v>
      </c>
      <c r="C16" s="127">
        <v>2</v>
      </c>
      <c r="D16" s="127">
        <v>3</v>
      </c>
      <c r="E16" s="127">
        <v>4</v>
      </c>
      <c r="F16" s="127">
        <v>5</v>
      </c>
      <c r="G16" s="127"/>
    </row>
    <row r="17" spans="1:6" ht="12.75">
      <c r="A17" t="s">
        <v>238</v>
      </c>
      <c r="B17">
        <v>3960</v>
      </c>
      <c r="C17">
        <v>4080</v>
      </c>
      <c r="D17">
        <v>4200</v>
      </c>
      <c r="E17">
        <v>4326</v>
      </c>
      <c r="F17">
        <v>4458</v>
      </c>
    </row>
    <row r="18" spans="1:6" ht="12.75">
      <c r="A18" t="s">
        <v>505</v>
      </c>
      <c r="B18">
        <v>1782</v>
      </c>
      <c r="C18">
        <v>1794</v>
      </c>
      <c r="D18">
        <v>1806</v>
      </c>
      <c r="E18">
        <v>1860</v>
      </c>
      <c r="F18">
        <v>1917</v>
      </c>
    </row>
    <row r="19" spans="1:6" ht="12.75">
      <c r="A19" t="s">
        <v>718</v>
      </c>
      <c r="B19">
        <v>870</v>
      </c>
      <c r="C19">
        <v>897</v>
      </c>
      <c r="D19">
        <v>924</v>
      </c>
      <c r="E19">
        <v>996</v>
      </c>
      <c r="F19">
        <v>1026</v>
      </c>
    </row>
    <row r="20" spans="1:6" ht="12.75">
      <c r="A20" t="s">
        <v>340</v>
      </c>
      <c r="B20">
        <v>396</v>
      </c>
      <c r="C20">
        <v>408</v>
      </c>
      <c r="D20">
        <v>420</v>
      </c>
      <c r="E20">
        <v>432</v>
      </c>
      <c r="F20">
        <v>447</v>
      </c>
    </row>
    <row r="21" spans="1:6" ht="12.75">
      <c r="A21" t="s">
        <v>183</v>
      </c>
      <c r="B21">
        <v>912</v>
      </c>
      <c r="C21">
        <v>981</v>
      </c>
      <c r="D21">
        <v>1050</v>
      </c>
      <c r="E21">
        <v>1038</v>
      </c>
      <c r="F21">
        <v>1068</v>
      </c>
    </row>
    <row r="22" spans="1:6" ht="12.75">
      <c r="A22" t="s">
        <v>184</v>
      </c>
      <c r="B22">
        <v>330</v>
      </c>
      <c r="C22">
        <v>315</v>
      </c>
      <c r="D22">
        <v>300</v>
      </c>
      <c r="E22">
        <v>300</v>
      </c>
      <c r="F22">
        <v>300</v>
      </c>
    </row>
    <row r="23" spans="1:6" ht="12.75">
      <c r="A23" t="s">
        <v>1116</v>
      </c>
      <c r="B23">
        <f>B21-B22</f>
        <v>582</v>
      </c>
      <c r="C23">
        <f>C21-C22</f>
        <v>666</v>
      </c>
      <c r="D23">
        <f>D21-D22</f>
        <v>750</v>
      </c>
      <c r="E23">
        <f>E21-E22</f>
        <v>738</v>
      </c>
      <c r="F23">
        <f>F21-F22</f>
        <v>768</v>
      </c>
    </row>
    <row r="25" spans="1:6" ht="12.75">
      <c r="A25" t="s">
        <v>3</v>
      </c>
      <c r="B25">
        <v>300</v>
      </c>
      <c r="C25">
        <v>300</v>
      </c>
      <c r="D25">
        <v>300</v>
      </c>
      <c r="E25">
        <v>300</v>
      </c>
      <c r="F25">
        <v>300</v>
      </c>
    </row>
    <row r="26" spans="1:3" ht="12.75">
      <c r="A26" s="15" t="s">
        <v>719</v>
      </c>
      <c r="B26">
        <v>50</v>
      </c>
      <c r="C26">
        <v>50</v>
      </c>
    </row>
    <row r="27" ht="12.75">
      <c r="A27" s="15"/>
    </row>
    <row r="28" ht="12.75">
      <c r="A28" s="15" t="s">
        <v>720</v>
      </c>
    </row>
    <row r="29" spans="1:2" ht="12.75">
      <c r="A29" s="15" t="s">
        <v>82</v>
      </c>
      <c r="B29" s="47">
        <f>2/3</f>
        <v>0.6666666666666666</v>
      </c>
    </row>
    <row r="30" spans="1:2" ht="12.75">
      <c r="A30" s="15" t="s">
        <v>526</v>
      </c>
      <c r="B30" s="47">
        <f>1-B29</f>
        <v>0.33333333333333337</v>
      </c>
    </row>
    <row r="31" spans="1:6" ht="12.75">
      <c r="A31" t="s">
        <v>65</v>
      </c>
      <c r="B31" s="47">
        <v>0.1</v>
      </c>
      <c r="C31" s="47"/>
      <c r="D31" s="47"/>
      <c r="E31" s="47"/>
      <c r="F31" s="47"/>
    </row>
    <row r="32" spans="1:6" ht="12.75">
      <c r="A32" t="s">
        <v>957</v>
      </c>
      <c r="B32" s="47">
        <v>0.06</v>
      </c>
      <c r="C32" s="47"/>
      <c r="D32" s="47"/>
      <c r="E32" s="47"/>
      <c r="F32" s="47"/>
    </row>
    <row r="33" spans="1:6" ht="12.75">
      <c r="A33" t="s">
        <v>958</v>
      </c>
      <c r="B33" s="83">
        <f>B31*B29+B32*(1-B35)*B30</f>
        <v>0.07926666666666667</v>
      </c>
      <c r="C33" s="83"/>
      <c r="D33" s="83"/>
      <c r="E33" s="83"/>
      <c r="F33" s="83"/>
    </row>
    <row r="35" spans="1:6" ht="12.75">
      <c r="A35" t="s">
        <v>232</v>
      </c>
      <c r="B35" s="47">
        <v>0.37</v>
      </c>
      <c r="C35" s="47"/>
      <c r="D35" s="47"/>
      <c r="E35" s="47"/>
      <c r="F35" s="47"/>
    </row>
    <row r="36" spans="1:2" ht="12.75">
      <c r="A36" t="s">
        <v>721</v>
      </c>
      <c r="B36" s="47">
        <v>0.02</v>
      </c>
    </row>
    <row r="37" ht="12.75">
      <c r="B37" s="47"/>
    </row>
    <row r="38" spans="2:7" ht="12.75">
      <c r="B38" s="127">
        <v>1</v>
      </c>
      <c r="C38" s="127">
        <v>2</v>
      </c>
      <c r="D38" s="127">
        <v>3</v>
      </c>
      <c r="E38" s="127">
        <v>4</v>
      </c>
      <c r="F38" s="127">
        <v>5</v>
      </c>
      <c r="G38" s="127" t="s">
        <v>722</v>
      </c>
    </row>
    <row r="39" spans="2:6" ht="12.75">
      <c r="B39" s="83"/>
      <c r="C39" s="83"/>
      <c r="D39" s="83"/>
      <c r="E39" s="83"/>
      <c r="F39" s="83"/>
    </row>
    <row r="40" spans="1:6" ht="12.75">
      <c r="A40" t="s">
        <v>183</v>
      </c>
      <c r="B40" s="75">
        <f>B21</f>
        <v>912</v>
      </c>
      <c r="C40" s="75">
        <f>C21</f>
        <v>981</v>
      </c>
      <c r="D40" s="75">
        <f>D21</f>
        <v>1050</v>
      </c>
      <c r="E40" s="75">
        <f>E21</f>
        <v>1038</v>
      </c>
      <c r="F40" s="75">
        <f>F21</f>
        <v>1068</v>
      </c>
    </row>
    <row r="41" spans="1:6" ht="12.75">
      <c r="A41" s="30" t="s">
        <v>308</v>
      </c>
      <c r="B41" s="75">
        <f>$B$35*B23</f>
        <v>215.34</v>
      </c>
      <c r="C41" s="75">
        <f>$B$35*C23</f>
        <v>246.42</v>
      </c>
      <c r="D41" s="75">
        <f>$B$35*D23</f>
        <v>277.5</v>
      </c>
      <c r="E41" s="75">
        <f>$B$35*E23</f>
        <v>273.06</v>
      </c>
      <c r="F41" s="75">
        <f>$B$35*F23</f>
        <v>284.15999999999997</v>
      </c>
    </row>
    <row r="42" spans="1:6" ht="12.75">
      <c r="A42" s="30" t="s">
        <v>725</v>
      </c>
      <c r="B42" s="75">
        <f aca="true" t="shared" si="0" ref="B42:F43">B25</f>
        <v>300</v>
      </c>
      <c r="C42" s="75">
        <f t="shared" si="0"/>
        <v>300</v>
      </c>
      <c r="D42" s="75">
        <f t="shared" si="0"/>
        <v>300</v>
      </c>
      <c r="E42" s="75">
        <f t="shared" si="0"/>
        <v>300</v>
      </c>
      <c r="F42" s="75">
        <f t="shared" si="0"/>
        <v>300</v>
      </c>
    </row>
    <row r="43" spans="1:6" ht="12.75">
      <c r="A43" s="219" t="s">
        <v>724</v>
      </c>
      <c r="B43" s="75">
        <f t="shared" si="0"/>
        <v>50</v>
      </c>
      <c r="C43" s="75">
        <f t="shared" si="0"/>
        <v>50</v>
      </c>
      <c r="D43" s="75">
        <f t="shared" si="0"/>
        <v>0</v>
      </c>
      <c r="E43" s="75">
        <f t="shared" si="0"/>
        <v>0</v>
      </c>
      <c r="F43" s="75">
        <f t="shared" si="0"/>
        <v>0</v>
      </c>
    </row>
    <row r="44" spans="2:7" ht="12.75">
      <c r="B44" s="33"/>
      <c r="C44" s="33"/>
      <c r="D44" s="33"/>
      <c r="E44" s="33"/>
      <c r="F44" s="33"/>
      <c r="G44" s="33"/>
    </row>
    <row r="45" spans="1:7" ht="12.75">
      <c r="A45" t="s">
        <v>726</v>
      </c>
      <c r="B45" s="108">
        <f>B40-B41-B42-B43</f>
        <v>346.65999999999997</v>
      </c>
      <c r="C45" s="108">
        <f>C40-C41-C42-C43</f>
        <v>384.58000000000004</v>
      </c>
      <c r="D45" s="108">
        <f>D40-D41-D42-D43</f>
        <v>472.5</v>
      </c>
      <c r="E45" s="108">
        <f>E40-E41-E42-E43</f>
        <v>464.94000000000005</v>
      </c>
      <c r="F45" s="108">
        <f>F40-F41-F42-F43</f>
        <v>483.84000000000003</v>
      </c>
      <c r="G45" s="108">
        <f>F45*(1+B36)</f>
        <v>493.51680000000005</v>
      </c>
    </row>
    <row r="46" spans="1:7" ht="12.75">
      <c r="A46" t="s">
        <v>727</v>
      </c>
      <c r="B46" s="75"/>
      <c r="C46" s="75"/>
      <c r="D46" s="75"/>
      <c r="E46" s="75"/>
      <c r="F46" s="108">
        <f>G45/(B33-B36)</f>
        <v>8327.055118110238</v>
      </c>
      <c r="G46" s="75"/>
    </row>
    <row r="47" spans="2:7" ht="12.75">
      <c r="B47" s="75"/>
      <c r="C47" s="75"/>
      <c r="D47" s="75"/>
      <c r="E47" s="75"/>
      <c r="F47" s="75"/>
      <c r="G47" s="75"/>
    </row>
    <row r="48" spans="1:7" ht="12.75">
      <c r="A48" t="s">
        <v>1164</v>
      </c>
      <c r="B48" s="75"/>
      <c r="C48" s="75"/>
      <c r="D48" s="75"/>
      <c r="E48" s="75"/>
      <c r="F48" s="75"/>
      <c r="G48" s="75"/>
    </row>
    <row r="49" spans="1:6" ht="12.75">
      <c r="A49" s="30" t="s">
        <v>730</v>
      </c>
      <c r="B49" s="108">
        <f>B45*POWER(1+$B$33,-B38)</f>
        <v>321.1995799617024</v>
      </c>
      <c r="C49" s="108">
        <f>C45*POWER(1+$B$33,-C38)</f>
        <v>330.16358158315376</v>
      </c>
      <c r="D49" s="108">
        <f>D45*POWER(1+$B$33,-D38)</f>
        <v>375.8508362066096</v>
      </c>
      <c r="E49" s="108">
        <f>E45*POWER(1+$B$33,-E38)</f>
        <v>342.6745532404446</v>
      </c>
      <c r="F49" s="108">
        <f>F45*POWER(1+$B$33,-F38)</f>
        <v>330.4136263465324</v>
      </c>
    </row>
    <row r="50" spans="1:6" ht="12.75">
      <c r="A50" s="30" t="s">
        <v>728</v>
      </c>
      <c r="B50" s="108">
        <f>F46*POWER(1+B33,-F38)</f>
        <v>5686.533726773843</v>
      </c>
      <c r="C50" s="75"/>
      <c r="D50" s="75"/>
      <c r="E50" s="75"/>
      <c r="F50" s="75"/>
    </row>
    <row r="51" spans="2:6" ht="12.75">
      <c r="B51" s="108"/>
      <c r="C51" s="75"/>
      <c r="D51" s="75"/>
      <c r="E51" s="75"/>
      <c r="F51" s="75"/>
    </row>
    <row r="52" spans="1:3" ht="12.75">
      <c r="A52" s="1" t="s">
        <v>729</v>
      </c>
      <c r="B52" s="310">
        <f>SUM(B49:F49)+B50</f>
        <v>7386.835904112286</v>
      </c>
      <c r="C52" t="s">
        <v>731</v>
      </c>
    </row>
    <row r="53" spans="1:2" ht="12.75">
      <c r="A53" t="s">
        <v>547</v>
      </c>
      <c r="B53" s="108">
        <v>2250</v>
      </c>
    </row>
    <row r="54" spans="1:3" ht="12.75">
      <c r="A54" s="1" t="s">
        <v>1007</v>
      </c>
      <c r="B54" s="310">
        <f>B52-B53</f>
        <v>5136.835904112286</v>
      </c>
      <c r="C54" t="s">
        <v>732</v>
      </c>
    </row>
    <row r="56" ht="14.25">
      <c r="A56" s="41" t="s">
        <v>733</v>
      </c>
    </row>
    <row r="58" spans="1:2" ht="12.75">
      <c r="A58" t="s">
        <v>736</v>
      </c>
      <c r="B58">
        <v>15</v>
      </c>
    </row>
    <row r="59" spans="1:2" ht="12.75">
      <c r="A59" t="s">
        <v>737</v>
      </c>
      <c r="B59">
        <v>25</v>
      </c>
    </row>
    <row r="61" spans="1:2" ht="12.75">
      <c r="A61" t="s">
        <v>738</v>
      </c>
      <c r="B61">
        <v>100</v>
      </c>
    </row>
    <row r="62" spans="1:2" ht="12.75">
      <c r="A62" t="s">
        <v>739</v>
      </c>
      <c r="B62">
        <v>60</v>
      </c>
    </row>
    <row r="63" spans="1:2" ht="12.75">
      <c r="A63" t="s">
        <v>740</v>
      </c>
      <c r="B63">
        <v>32</v>
      </c>
    </row>
    <row r="65" spans="1:2" ht="12.75">
      <c r="A65" s="1" t="s">
        <v>729</v>
      </c>
      <c r="B65" s="1">
        <f>B58*B62</f>
        <v>900</v>
      </c>
    </row>
    <row r="66" spans="1:2" ht="12.75">
      <c r="A66" s="1" t="s">
        <v>959</v>
      </c>
      <c r="B66" s="1">
        <f>B61</f>
        <v>100</v>
      </c>
    </row>
    <row r="67" spans="1:2" ht="12.75">
      <c r="A67" s="1" t="s">
        <v>1007</v>
      </c>
      <c r="B67" s="1">
        <f>B59*B63</f>
        <v>800</v>
      </c>
    </row>
  </sheetData>
  <mergeCells count="1">
    <mergeCell ref="B6:C6"/>
  </mergeCells>
  <printOptions/>
  <pageMargins left="0.7874015748031497" right="0.7874015748031497" top="0.984251968503937" bottom="0.984251968503937" header="0.5118110236220472" footer="0.5118110236220472"/>
  <pageSetup horizontalDpi="200" verticalDpi="200" orientation="portrait" paperSize="9" r:id="rId2"/>
  <headerFooter alignWithMargins="0">
    <oddFooter>&amp;L&amp;"Verdana,Italique"&amp;9&amp;F - &amp;A&amp;C&amp;P / &amp;N&amp;R&amp;"Verdana,Italique"&amp;9&amp;D - &amp;T</oddFooter>
  </headerFooter>
  <drawing r:id="rId1"/>
</worksheet>
</file>

<file path=xl/worksheets/sheet36.xml><?xml version="1.0" encoding="utf-8"?>
<worksheet xmlns="http://schemas.openxmlformats.org/spreadsheetml/2006/main" xmlns:r="http://schemas.openxmlformats.org/officeDocument/2006/relationships">
  <dimension ref="A1:A1"/>
  <sheetViews>
    <sheetView showGridLines="0" zoomScale="75" zoomScaleNormal="75" workbookViewId="0" topLeftCell="A1">
      <selection activeCell="A1" sqref="A1"/>
    </sheetView>
  </sheetViews>
  <sheetFormatPr defaultColWidth="11.00390625" defaultRowHeight="12.75"/>
  <cols>
    <col min="1" max="1" width="24.50390625" style="0" customWidth="1"/>
  </cols>
  <sheetData>
    <row r="1" ht="14.25">
      <c r="A1" s="41" t="s">
        <v>287</v>
      </c>
    </row>
  </sheetData>
  <printOptions/>
  <pageMargins left="0.7874015748031497" right="0.7874015748031497" top="0.984251968503937" bottom="0.984251968503937" header="0.5118110236220472" footer="0.5118110236220472"/>
  <pageSetup horizontalDpi="200" verticalDpi="200" orientation="portrait" paperSize="9" r:id="rId2"/>
  <headerFooter alignWithMargins="0">
    <oddFooter>&amp;L&amp;"Verdana,Italique"&amp;9&amp;F - &amp;A&amp;C&amp;P / &amp;N&amp;R&amp;"Verdana,Italique"&amp;9&amp;D - &amp;T</oddFooter>
  </headerFooter>
  <drawing r:id="rId1"/>
</worksheet>
</file>

<file path=xl/worksheets/sheet37.xml><?xml version="1.0" encoding="utf-8"?>
<worksheet xmlns="http://schemas.openxmlformats.org/spreadsheetml/2006/main" xmlns:r="http://schemas.openxmlformats.org/officeDocument/2006/relationships">
  <dimension ref="A1:K51"/>
  <sheetViews>
    <sheetView showGridLines="0" zoomScale="75" zoomScaleNormal="75" workbookViewId="0" topLeftCell="A1">
      <selection activeCell="A1" sqref="A1"/>
    </sheetView>
  </sheetViews>
  <sheetFormatPr defaultColWidth="11.00390625" defaultRowHeight="12.75"/>
  <cols>
    <col min="1" max="1" width="26.375" style="0" customWidth="1"/>
  </cols>
  <sheetData>
    <row r="1" ht="14.25">
      <c r="A1" s="20" t="s">
        <v>17</v>
      </c>
    </row>
    <row r="2" spans="1:7" ht="21">
      <c r="A2" s="154" t="s">
        <v>745</v>
      </c>
      <c r="B2" s="64" t="s">
        <v>744</v>
      </c>
      <c r="C2" s="64" t="s">
        <v>743</v>
      </c>
      <c r="D2" s="64"/>
      <c r="F2" s="207" t="s">
        <v>741</v>
      </c>
      <c r="G2" s="207" t="s">
        <v>742</v>
      </c>
    </row>
    <row r="3" spans="1:7" ht="12.75">
      <c r="A3" s="207" t="s">
        <v>741</v>
      </c>
      <c r="B3" s="47">
        <v>1</v>
      </c>
      <c r="E3" s="64" t="s">
        <v>599</v>
      </c>
      <c r="F3">
        <v>60</v>
      </c>
      <c r="G3">
        <v>30</v>
      </c>
    </row>
    <row r="4" spans="1:7" ht="12.75">
      <c r="A4" s="207" t="s">
        <v>742</v>
      </c>
      <c r="C4" s="47">
        <v>1</v>
      </c>
      <c r="E4" s="64" t="s">
        <v>1007</v>
      </c>
      <c r="F4">
        <v>750</v>
      </c>
      <c r="G4">
        <v>1500</v>
      </c>
    </row>
    <row r="5" spans="5:7" ht="12.75">
      <c r="E5" s="64" t="s">
        <v>82</v>
      </c>
      <c r="F5">
        <v>800</v>
      </c>
      <c r="G5">
        <v>400</v>
      </c>
    </row>
    <row r="6" ht="12.75">
      <c r="A6" s="154" t="s">
        <v>746</v>
      </c>
    </row>
    <row r="7" spans="1:3" ht="12.75">
      <c r="A7" t="s">
        <v>747</v>
      </c>
      <c r="B7" s="25">
        <f aca="true" t="shared" si="0" ref="B7:C9">F3/($F3+$G3)</f>
        <v>0.6666666666666666</v>
      </c>
      <c r="C7" s="25">
        <f t="shared" si="0"/>
        <v>0.3333333333333333</v>
      </c>
    </row>
    <row r="8" spans="1:3" ht="12.75">
      <c r="A8" t="s">
        <v>748</v>
      </c>
      <c r="B8" s="25">
        <f t="shared" si="0"/>
        <v>0.3333333333333333</v>
      </c>
      <c r="C8" s="25">
        <f t="shared" si="0"/>
        <v>0.6666666666666666</v>
      </c>
    </row>
    <row r="9" spans="1:3" ht="12.75">
      <c r="A9" t="s">
        <v>749</v>
      </c>
      <c r="B9" s="25">
        <f t="shared" si="0"/>
        <v>0.6666666666666666</v>
      </c>
      <c r="C9" s="25">
        <f t="shared" si="0"/>
        <v>0.3333333333333333</v>
      </c>
    </row>
    <row r="11" ht="14.25">
      <c r="A11" s="20" t="s">
        <v>18</v>
      </c>
    </row>
    <row r="12" spans="1:8" ht="21">
      <c r="A12" s="154" t="s">
        <v>745</v>
      </c>
      <c r="B12" s="64" t="s">
        <v>599</v>
      </c>
      <c r="C12" s="64" t="s">
        <v>750</v>
      </c>
      <c r="D12" s="64" t="s">
        <v>122</v>
      </c>
      <c r="E12" s="64" t="s">
        <v>157</v>
      </c>
      <c r="G12" s="74" t="s">
        <v>100</v>
      </c>
      <c r="H12" s="74" t="s">
        <v>758</v>
      </c>
    </row>
    <row r="13" spans="1:11" ht="12.75">
      <c r="A13" t="s">
        <v>753</v>
      </c>
      <c r="B13">
        <v>20</v>
      </c>
      <c r="C13">
        <v>60</v>
      </c>
      <c r="D13">
        <v>50</v>
      </c>
      <c r="E13">
        <v>2000</v>
      </c>
      <c r="G13" s="6">
        <f>B13/E13</f>
        <v>0.01</v>
      </c>
      <c r="H13" s="6">
        <f>C13/E13</f>
        <v>0.03</v>
      </c>
      <c r="J13" t="s">
        <v>751</v>
      </c>
      <c r="K13" t="s">
        <v>753</v>
      </c>
    </row>
    <row r="14" spans="1:11" ht="12.75">
      <c r="A14" t="s">
        <v>754</v>
      </c>
      <c r="B14">
        <v>40</v>
      </c>
      <c r="C14">
        <v>300</v>
      </c>
      <c r="D14">
        <v>8</v>
      </c>
      <c r="E14">
        <v>1000</v>
      </c>
      <c r="G14" s="6">
        <f>B14/E14</f>
        <v>0.04</v>
      </c>
      <c r="H14" s="6">
        <f>C14/E14</f>
        <v>0.3</v>
      </c>
      <c r="J14" t="s">
        <v>752</v>
      </c>
      <c r="K14" t="s">
        <v>754</v>
      </c>
    </row>
    <row r="16" ht="12.75">
      <c r="A16" s="154" t="s">
        <v>755</v>
      </c>
    </row>
    <row r="17" spans="4:5" ht="21">
      <c r="D17" s="64" t="s">
        <v>1094</v>
      </c>
      <c r="E17">
        <f>E13*100%/B18</f>
        <v>2640</v>
      </c>
    </row>
    <row r="18" spans="1:2" ht="12.75">
      <c r="A18" s="1" t="s">
        <v>756</v>
      </c>
      <c r="B18" s="67">
        <f>B13*D13/(B$13*D$13+B$14*D$14)</f>
        <v>0.7575757575757576</v>
      </c>
    </row>
    <row r="19" spans="1:2" ht="12.75">
      <c r="A19" s="1" t="s">
        <v>757</v>
      </c>
      <c r="B19" s="67">
        <f>B14*D14/(B$13*D$13+B$14*D$14)</f>
        <v>0.24242424242424243</v>
      </c>
    </row>
    <row r="21" spans="1:2" ht="12.75">
      <c r="A21" s="1" t="s">
        <v>100</v>
      </c>
      <c r="B21" s="214">
        <f>(B13+B14)/E17</f>
        <v>0.022727272727272728</v>
      </c>
    </row>
    <row r="22" spans="1:2" ht="12.75">
      <c r="A22" s="1" t="s">
        <v>758</v>
      </c>
      <c r="B22" s="214">
        <f>(C13+C14)/E17</f>
        <v>0.13636363636363635</v>
      </c>
    </row>
    <row r="24" ht="12.75">
      <c r="A24" s="154" t="s">
        <v>759</v>
      </c>
    </row>
    <row r="26" spans="1:3" ht="12.75">
      <c r="A26" t="s">
        <v>760</v>
      </c>
      <c r="B26">
        <v>15</v>
      </c>
      <c r="C26">
        <v>6</v>
      </c>
    </row>
    <row r="27" spans="1:3" ht="12.75">
      <c r="A27" s="1" t="s">
        <v>756</v>
      </c>
      <c r="B27" s="67">
        <f>B13*B26/(B$13*B26+B$14*D$14)</f>
        <v>0.4838709677419355</v>
      </c>
      <c r="C27" s="67">
        <f>B13*C26/(B$13*C$26+B$14*D$14)</f>
        <v>0.2727272727272727</v>
      </c>
    </row>
    <row r="28" spans="1:3" ht="12.75">
      <c r="A28" s="1" t="s">
        <v>757</v>
      </c>
      <c r="B28" s="67">
        <f>B14*D14/(B$13*B26+B$14*D$14)</f>
        <v>0.5161290322580645</v>
      </c>
      <c r="C28" s="67">
        <f>B14*D14/(B$13*C26+B$14*D$14)</f>
        <v>0.7272727272727273</v>
      </c>
    </row>
    <row r="30" ht="12.75">
      <c r="A30" s="154" t="s">
        <v>761</v>
      </c>
    </row>
    <row r="32" spans="1:2" ht="12.75">
      <c r="A32" t="s">
        <v>762</v>
      </c>
      <c r="B32">
        <v>10</v>
      </c>
    </row>
    <row r="33" spans="1:2" ht="12.75">
      <c r="A33" t="s">
        <v>763</v>
      </c>
      <c r="B33">
        <v>21</v>
      </c>
    </row>
    <row r="35" spans="1:2" ht="12.75">
      <c r="A35" t="s">
        <v>764</v>
      </c>
      <c r="B35">
        <f>(B13+B14+B32)*B33-(D13*B13+D14*B14)</f>
        <v>150</v>
      </c>
    </row>
    <row r="37" spans="1:2" ht="12.75">
      <c r="A37" s="371" t="s">
        <v>442</v>
      </c>
      <c r="B37" s="134">
        <f>D13*B13/(B35+D14*B14)</f>
        <v>2.127659574468085</v>
      </c>
    </row>
    <row r="38" spans="1:2" ht="12.75">
      <c r="A38" s="1" t="s">
        <v>443</v>
      </c>
      <c r="B38" s="134">
        <f>(B35+D13*B13)/(D14*B14)</f>
        <v>3.59375</v>
      </c>
    </row>
    <row r="40" ht="12.75">
      <c r="A40" s="154" t="s">
        <v>769</v>
      </c>
    </row>
    <row r="42" spans="1:2" ht="12.75">
      <c r="A42" t="s">
        <v>762</v>
      </c>
      <c r="B42">
        <v>10</v>
      </c>
    </row>
    <row r="43" spans="1:2" ht="12.75">
      <c r="A43" t="s">
        <v>763</v>
      </c>
      <c r="B43">
        <v>50</v>
      </c>
    </row>
    <row r="45" spans="1:3" ht="12.75">
      <c r="A45" s="1" t="s">
        <v>765</v>
      </c>
      <c r="B45">
        <f>B43*(B42+B13+B14)</f>
        <v>3500</v>
      </c>
      <c r="C45" t="s">
        <v>770</v>
      </c>
    </row>
    <row r="47" ht="12.75">
      <c r="A47" s="154" t="s">
        <v>766</v>
      </c>
    </row>
    <row r="49" spans="1:2" ht="12.75">
      <c r="A49" t="s">
        <v>767</v>
      </c>
      <c r="B49">
        <f>B45-(D13*B13+D14*B14)</f>
        <v>2180</v>
      </c>
    </row>
    <row r="50" spans="1:2" ht="12.75">
      <c r="A50" s="22" t="s">
        <v>492</v>
      </c>
      <c r="B50">
        <f>B42*B43</f>
        <v>500</v>
      </c>
    </row>
    <row r="51" spans="1:2" ht="12.75">
      <c r="A51" s="22" t="s">
        <v>768</v>
      </c>
      <c r="B51">
        <f>B49-B50</f>
        <v>1680</v>
      </c>
    </row>
  </sheetData>
  <printOptions/>
  <pageMargins left="0.7874015748031497" right="0.7874015748031497" top="0.984251968503937" bottom="0.984251968503937" header="0.5118110236220472" footer="0.5118110236220472"/>
  <pageSetup horizontalDpi="200" verticalDpi="200" orientation="portrait" paperSize="9" r:id="rId2"/>
  <headerFooter alignWithMargins="0">
    <oddFooter>&amp;L&amp;"Verdana,Italique"&amp;9&amp;F - &amp;A&amp;C&amp;P / &amp;N&amp;R&amp;"Verdana,Italique"&amp;9&amp;D - &amp;T</oddFooter>
  </headerFooter>
  <drawing r:id="rId1"/>
</worksheet>
</file>

<file path=xl/worksheets/sheet38.xml><?xml version="1.0" encoding="utf-8"?>
<worksheet xmlns="http://schemas.openxmlformats.org/spreadsheetml/2006/main" xmlns:r="http://schemas.openxmlformats.org/officeDocument/2006/relationships">
  <dimension ref="A1:H95"/>
  <sheetViews>
    <sheetView showGridLines="0" zoomScale="75" zoomScaleNormal="75" workbookViewId="0" topLeftCell="A25">
      <selection activeCell="A1" sqref="A1"/>
    </sheetView>
  </sheetViews>
  <sheetFormatPr defaultColWidth="11.00390625" defaultRowHeight="12.75"/>
  <cols>
    <col min="1" max="1" width="30.125" style="0" customWidth="1"/>
    <col min="2" max="2" width="12.875" style="0" bestFit="1" customWidth="1"/>
  </cols>
  <sheetData>
    <row r="1" ht="14.25">
      <c r="A1" s="41" t="s">
        <v>493</v>
      </c>
    </row>
    <row r="2" spans="2:3" ht="12.75">
      <c r="B2" s="311"/>
      <c r="C2" s="311"/>
    </row>
    <row r="3" spans="1:3" ht="12.75">
      <c r="A3" t="s">
        <v>887</v>
      </c>
      <c r="B3" s="321" t="s">
        <v>614</v>
      </c>
      <c r="C3" s="321" t="s">
        <v>613</v>
      </c>
    </row>
    <row r="4" spans="1:3" ht="12.75">
      <c r="A4" t="s">
        <v>888</v>
      </c>
      <c r="B4" s="106">
        <v>500</v>
      </c>
      <c r="C4" s="106">
        <v>1000</v>
      </c>
    </row>
    <row r="5" spans="1:3" ht="12.75">
      <c r="A5" t="s">
        <v>889</v>
      </c>
      <c r="B5" s="106">
        <v>-500</v>
      </c>
      <c r="C5" s="106">
        <v>-500</v>
      </c>
    </row>
    <row r="6" spans="1:3" s="66" customFormat="1" ht="12.75">
      <c r="A6" s="66" t="s">
        <v>890</v>
      </c>
      <c r="B6" s="106">
        <f>B4+B5</f>
        <v>0</v>
      </c>
      <c r="C6" s="106">
        <f>C4+C5</f>
        <v>500</v>
      </c>
    </row>
    <row r="7" spans="1:3" s="66" customFormat="1" ht="12.75">
      <c r="A7" s="66" t="s">
        <v>1294</v>
      </c>
      <c r="B7" s="106">
        <v>0</v>
      </c>
      <c r="C7" s="106">
        <v>300</v>
      </c>
    </row>
    <row r="8" spans="2:3" s="66" customFormat="1" ht="12.75">
      <c r="B8" s="106"/>
      <c r="C8" s="106"/>
    </row>
    <row r="9" s="66" customFormat="1" ht="12.75">
      <c r="A9" s="66" t="s">
        <v>521</v>
      </c>
    </row>
    <row r="10" spans="1:2" s="66" customFormat="1" ht="12.75">
      <c r="A10" s="66" t="s">
        <v>891</v>
      </c>
      <c r="B10" s="66">
        <f>AVERAGE(B4:C4)</f>
        <v>750</v>
      </c>
    </row>
    <row r="11" spans="1:2" s="66" customFormat="1" ht="12.75">
      <c r="A11" s="66" t="s">
        <v>892</v>
      </c>
      <c r="B11" s="66">
        <f>-AVERAGE(B5,C5)</f>
        <v>500</v>
      </c>
    </row>
    <row r="12" spans="1:2" s="66" customFormat="1" ht="12.75">
      <c r="A12" s="66" t="s">
        <v>893</v>
      </c>
      <c r="B12" s="66">
        <f>B10-B11</f>
        <v>250</v>
      </c>
    </row>
    <row r="13" s="66" customFormat="1" ht="12.75"/>
    <row r="14" s="66" customFormat="1" ht="12.75">
      <c r="A14" s="66" t="s">
        <v>522</v>
      </c>
    </row>
    <row r="15" spans="1:2" s="66" customFormat="1" ht="12.75">
      <c r="A15" s="66" t="s">
        <v>894</v>
      </c>
      <c r="B15" s="66">
        <f>AVERAGE(B7,C7)</f>
        <v>150</v>
      </c>
    </row>
    <row r="16" s="66" customFormat="1" ht="12.75">
      <c r="A16" s="66" t="s">
        <v>897</v>
      </c>
    </row>
    <row r="17" spans="1:2" s="66" customFormat="1" ht="12.75">
      <c r="A17" s="66" t="s">
        <v>895</v>
      </c>
      <c r="B17" s="66">
        <f>B15+150</f>
        <v>300</v>
      </c>
    </row>
    <row r="18" spans="1:2" s="66" customFormat="1" ht="12.75">
      <c r="A18" s="66" t="s">
        <v>896</v>
      </c>
      <c r="B18" s="66">
        <f>B15</f>
        <v>150</v>
      </c>
    </row>
    <row r="19" s="66" customFormat="1" ht="12.75"/>
    <row r="20" s="66" customFormat="1" ht="12.75">
      <c r="A20" s="66" t="s">
        <v>617</v>
      </c>
    </row>
    <row r="21" s="66" customFormat="1" ht="12.75">
      <c r="A21" s="66" t="s">
        <v>898</v>
      </c>
    </row>
    <row r="22" s="66" customFormat="1" ht="12.75"/>
    <row r="23" s="66" customFormat="1" ht="12.75">
      <c r="A23" s="66" t="s">
        <v>618</v>
      </c>
    </row>
    <row r="24" s="66" customFormat="1" ht="12.75">
      <c r="A24" s="66" t="s">
        <v>899</v>
      </c>
    </row>
    <row r="25" s="66" customFormat="1" ht="12.75"/>
    <row r="26" ht="14.25">
      <c r="A26" s="41" t="s">
        <v>900</v>
      </c>
    </row>
    <row r="27" spans="1:8" ht="12.75">
      <c r="A27" s="155"/>
      <c r="B27" s="64"/>
      <c r="C27" s="64"/>
      <c r="D27" s="64"/>
      <c r="E27" s="64"/>
      <c r="G27" s="74"/>
      <c r="H27" s="74"/>
    </row>
    <row r="28" spans="2:8" ht="12.75">
      <c r="B28">
        <v>2000</v>
      </c>
      <c r="C28">
        <f>B28+1</f>
        <v>2001</v>
      </c>
      <c r="D28">
        <f>C28+1</f>
        <v>2002</v>
      </c>
      <c r="G28" s="6"/>
      <c r="H28" s="6"/>
    </row>
    <row r="29" spans="1:8" ht="12.75">
      <c r="A29" t="s">
        <v>238</v>
      </c>
      <c r="B29">
        <v>8026</v>
      </c>
      <c r="C29">
        <v>5208</v>
      </c>
      <c r="D29">
        <v>3018</v>
      </c>
      <c r="G29" s="6"/>
      <c r="H29" s="6"/>
    </row>
    <row r="30" spans="1:8" ht="12.75">
      <c r="A30" t="s">
        <v>1116</v>
      </c>
      <c r="B30">
        <v>130</v>
      </c>
      <c r="C30">
        <v>-168</v>
      </c>
      <c r="D30">
        <v>-100</v>
      </c>
      <c r="G30" s="6"/>
      <c r="H30" s="6"/>
    </row>
    <row r="31" spans="1:8" ht="12.75">
      <c r="A31" t="s">
        <v>901</v>
      </c>
      <c r="B31">
        <v>330</v>
      </c>
      <c r="C31">
        <v>144</v>
      </c>
      <c r="D31">
        <v>62</v>
      </c>
      <c r="G31" s="6"/>
      <c r="H31" s="6"/>
    </row>
    <row r="32" spans="1:8" ht="12.75">
      <c r="A32" t="s">
        <v>902</v>
      </c>
      <c r="B32">
        <v>-1020</v>
      </c>
      <c r="C32">
        <v>-314</v>
      </c>
      <c r="G32" s="6"/>
      <c r="H32" s="6"/>
    </row>
    <row r="33" spans="1:8" ht="12.75">
      <c r="A33" t="s">
        <v>599</v>
      </c>
      <c r="B33">
        <f>B30-B31+B32</f>
        <v>-1220</v>
      </c>
      <c r="C33">
        <f>C30-C31+C32</f>
        <v>-626</v>
      </c>
      <c r="D33">
        <f>D30-D31+D32</f>
        <v>-162</v>
      </c>
      <c r="G33" s="6"/>
      <c r="H33" s="6"/>
    </row>
    <row r="34" spans="7:8" ht="12.75">
      <c r="G34" s="6"/>
      <c r="H34" s="6"/>
    </row>
    <row r="35" spans="1:8" ht="12.75">
      <c r="A35" t="s">
        <v>1097</v>
      </c>
      <c r="C35">
        <v>122</v>
      </c>
      <c r="D35">
        <v>72</v>
      </c>
      <c r="G35" s="6"/>
      <c r="H35" s="6"/>
    </row>
    <row r="36" spans="1:8" ht="12.75">
      <c r="A36" t="s">
        <v>431</v>
      </c>
      <c r="C36">
        <v>614</v>
      </c>
      <c r="D36">
        <v>330</v>
      </c>
      <c r="G36" s="6"/>
      <c r="H36" s="6"/>
    </row>
    <row r="37" spans="1:8" ht="12.75">
      <c r="A37" t="s">
        <v>632</v>
      </c>
      <c r="C37">
        <v>-620</v>
      </c>
      <c r="D37">
        <v>-784</v>
      </c>
      <c r="G37" s="6"/>
      <c r="H37" s="6"/>
    </row>
    <row r="38" spans="1:8" ht="12.75">
      <c r="A38" t="s">
        <v>904</v>
      </c>
      <c r="C38">
        <v>616</v>
      </c>
      <c r="D38">
        <v>616</v>
      </c>
      <c r="G38" s="6"/>
      <c r="H38" s="6"/>
    </row>
    <row r="39" spans="1:4" ht="12.75">
      <c r="A39" t="s">
        <v>903</v>
      </c>
      <c r="C39">
        <v>740</v>
      </c>
      <c r="D39">
        <v>570</v>
      </c>
    </row>
    <row r="41" spans="1:2" ht="12.75">
      <c r="A41" t="s">
        <v>905</v>
      </c>
      <c r="B41" s="320">
        <v>8910000</v>
      </c>
    </row>
    <row r="42" spans="1:2" ht="12.75">
      <c r="A42" t="s">
        <v>110</v>
      </c>
      <c r="B42" s="106">
        <v>24</v>
      </c>
    </row>
    <row r="46" ht="12.75">
      <c r="A46" t="s">
        <v>521</v>
      </c>
    </row>
    <row r="47" ht="12.75">
      <c r="A47" t="s">
        <v>792</v>
      </c>
    </row>
    <row r="48" ht="12.75">
      <c r="A48" t="s">
        <v>793</v>
      </c>
    </row>
    <row r="49" ht="12.75">
      <c r="A49" t="s">
        <v>794</v>
      </c>
    </row>
    <row r="50" ht="12.75">
      <c r="A50" t="s">
        <v>795</v>
      </c>
    </row>
    <row r="52" ht="12.75">
      <c r="A52" s="30" t="s">
        <v>796</v>
      </c>
    </row>
    <row r="53" ht="12.75">
      <c r="A53" s="30"/>
    </row>
    <row r="54" ht="12.75">
      <c r="A54" t="s">
        <v>522</v>
      </c>
    </row>
    <row r="55" spans="1:2" ht="12.75">
      <c r="A55" t="s">
        <v>893</v>
      </c>
      <c r="B55" s="75">
        <f>B41*B42/1000000</f>
        <v>213.84</v>
      </c>
    </row>
    <row r="56" spans="1:2" ht="12.75">
      <c r="A56" t="s">
        <v>797</v>
      </c>
      <c r="B56" s="75">
        <f>0.5*D39</f>
        <v>285</v>
      </c>
    </row>
    <row r="57" spans="1:2" ht="12.75">
      <c r="A57" t="s">
        <v>798</v>
      </c>
      <c r="B57" s="75">
        <f>21%*D38</f>
        <v>129.35999999999999</v>
      </c>
    </row>
    <row r="58" spans="1:2" ht="12.75">
      <c r="A58" t="s">
        <v>891</v>
      </c>
      <c r="B58" s="75">
        <f>B55+B56+B57</f>
        <v>628.2</v>
      </c>
    </row>
    <row r="59" ht="12.75">
      <c r="B59" s="108"/>
    </row>
    <row r="60" spans="1:2" ht="12.75">
      <c r="A60" t="s">
        <v>617</v>
      </c>
      <c r="B60" s="108"/>
    </row>
    <row r="61" spans="1:2" ht="12.75">
      <c r="A61" t="s">
        <v>150</v>
      </c>
      <c r="B61" s="108"/>
    </row>
    <row r="62" spans="1:2" ht="12.75">
      <c r="A62" t="s">
        <v>153</v>
      </c>
      <c r="B62" s="124">
        <v>15500000</v>
      </c>
    </row>
    <row r="63" spans="1:2" ht="12.75">
      <c r="A63" s="33" t="s">
        <v>799</v>
      </c>
      <c r="B63" s="323">
        <v>20</v>
      </c>
    </row>
    <row r="64" spans="1:2" ht="12.75">
      <c r="A64" t="s">
        <v>1246</v>
      </c>
      <c r="B64" s="322">
        <f>B62*B63/1000000</f>
        <v>310</v>
      </c>
    </row>
    <row r="65" ht="12.75">
      <c r="B65" s="322"/>
    </row>
    <row r="66" spans="1:2" ht="12.75">
      <c r="A66" t="s">
        <v>904</v>
      </c>
      <c r="B66" s="322"/>
    </row>
    <row r="67" spans="1:2" ht="12.75">
      <c r="A67" t="s">
        <v>153</v>
      </c>
      <c r="B67" s="124">
        <v>3850000</v>
      </c>
    </row>
    <row r="68" spans="1:2" ht="12.75">
      <c r="A68" t="s">
        <v>800</v>
      </c>
      <c r="B68" s="324">
        <v>36.96</v>
      </c>
    </row>
    <row r="69" ht="12.75">
      <c r="B69" s="322"/>
    </row>
    <row r="70" spans="1:2" ht="12.75">
      <c r="A70" t="s">
        <v>903</v>
      </c>
      <c r="B70" s="322"/>
    </row>
    <row r="71" spans="1:2" ht="12.75">
      <c r="A71" s="330" t="s">
        <v>437</v>
      </c>
      <c r="B71" s="322">
        <v>160</v>
      </c>
    </row>
    <row r="72" spans="1:2" ht="12.75">
      <c r="A72" s="330" t="s">
        <v>435</v>
      </c>
      <c r="B72" s="124">
        <v>1250000</v>
      </c>
    </row>
    <row r="73" spans="1:2" ht="12.75">
      <c r="A73" s="330" t="s">
        <v>436</v>
      </c>
      <c r="B73" s="322">
        <v>4</v>
      </c>
    </row>
    <row r="74" spans="1:2" ht="12.75">
      <c r="A74" s="330"/>
      <c r="B74" s="322"/>
    </row>
    <row r="75" spans="1:2" ht="12.75">
      <c r="A75" s="371" t="s">
        <v>804</v>
      </c>
      <c r="B75" s="322"/>
    </row>
    <row r="76" spans="1:2" ht="12.75">
      <c r="A76" s="330" t="s">
        <v>440</v>
      </c>
      <c r="B76" s="322">
        <f>B64-B68</f>
        <v>273.04</v>
      </c>
    </row>
    <row r="77" spans="1:2" ht="12.75">
      <c r="A77" s="330" t="s">
        <v>439</v>
      </c>
      <c r="B77" s="322">
        <f>80%*(D39-B71-(B64-B68))</f>
        <v>109.56799999999998</v>
      </c>
    </row>
    <row r="78" spans="1:2" ht="12.75">
      <c r="A78" s="337" t="s">
        <v>438</v>
      </c>
      <c r="B78" s="323">
        <f>B72*B73/1000000</f>
        <v>5</v>
      </c>
    </row>
    <row r="79" spans="1:2" ht="12.75">
      <c r="A79" s="330" t="s">
        <v>441</v>
      </c>
      <c r="B79" s="322">
        <f>SUM(B76:B78)</f>
        <v>387.608</v>
      </c>
    </row>
    <row r="80" ht="12.75">
      <c r="B80" s="322"/>
    </row>
    <row r="81" spans="1:2" ht="12.75">
      <c r="A81" s="1" t="s">
        <v>1080</v>
      </c>
      <c r="B81" s="322"/>
    </row>
    <row r="82" spans="1:2" ht="12.75">
      <c r="A82" t="s">
        <v>803</v>
      </c>
      <c r="B82" s="322">
        <f>B58</f>
        <v>628.2</v>
      </c>
    </row>
    <row r="83" spans="1:2" ht="12.75">
      <c r="A83" t="s">
        <v>903</v>
      </c>
      <c r="B83" s="322">
        <f>80%*(D39-B71-B64+B68)</f>
        <v>109.56800000000001</v>
      </c>
    </row>
    <row r="84" spans="1:2" ht="12.75">
      <c r="A84" s="33" t="s">
        <v>904</v>
      </c>
      <c r="B84" s="323">
        <f>B72*B73/1000000</f>
        <v>5</v>
      </c>
    </row>
    <row r="85" spans="1:2" ht="12.75">
      <c r="A85" s="325" t="s">
        <v>893</v>
      </c>
      <c r="B85" s="255">
        <f>B82-B83-B84</f>
        <v>513.6320000000001</v>
      </c>
    </row>
    <row r="86" ht="12.75">
      <c r="B86" s="322"/>
    </row>
    <row r="87" spans="1:2" ht="12.75">
      <c r="A87" t="s">
        <v>135</v>
      </c>
      <c r="B87" s="255">
        <f>B85/(B41+B62+B67)*1000000</f>
        <v>18.175230007077143</v>
      </c>
    </row>
    <row r="88" ht="12.75">
      <c r="B88" s="255"/>
    </row>
    <row r="89" ht="12.75">
      <c r="B89" s="255"/>
    </row>
    <row r="90" ht="12.75">
      <c r="B90" s="255"/>
    </row>
    <row r="91" ht="12.75">
      <c r="B91" s="255"/>
    </row>
    <row r="92" spans="1:2" ht="12.75">
      <c r="A92" s="1" t="s">
        <v>801</v>
      </c>
      <c r="B92" s="255"/>
    </row>
    <row r="93" spans="1:2" ht="12.75">
      <c r="A93" t="s">
        <v>1246</v>
      </c>
      <c r="B93" s="255">
        <f>B68+B87*B67/1000000</f>
        <v>106.934635527247</v>
      </c>
    </row>
    <row r="94" ht="12.75">
      <c r="B94" s="255"/>
    </row>
    <row r="95" spans="1:2" ht="12.75">
      <c r="A95" t="s">
        <v>802</v>
      </c>
      <c r="B95" s="255"/>
    </row>
  </sheetData>
  <printOptions/>
  <pageMargins left="0.7874015748031497" right="0.7874015748031497" top="0.984251968503937" bottom="0.984251968503937" header="0.5118110236220472" footer="0.5118110236220472"/>
  <pageSetup horizontalDpi="200" verticalDpi="200" orientation="portrait" paperSize="9" r:id="rId2"/>
  <headerFooter alignWithMargins="0">
    <oddFooter>&amp;L&amp;"Verdana,Italique"&amp;9&amp;F - &amp;A&amp;C&amp;P / &amp;N&amp;R&amp;"Verdana,Italique"&amp;9&amp;D - &amp;T</oddFooter>
  </headerFooter>
  <drawing r:id="rId1"/>
</worksheet>
</file>

<file path=xl/worksheets/sheet39.xml><?xml version="1.0" encoding="utf-8"?>
<worksheet xmlns="http://schemas.openxmlformats.org/spreadsheetml/2006/main" xmlns:r="http://schemas.openxmlformats.org/officeDocument/2006/relationships">
  <dimension ref="A1:I53"/>
  <sheetViews>
    <sheetView showGridLines="0" zoomScale="75" zoomScaleNormal="75" workbookViewId="0" topLeftCell="A1">
      <selection activeCell="A1" sqref="A1"/>
    </sheetView>
  </sheetViews>
  <sheetFormatPr defaultColWidth="11.00390625" defaultRowHeight="12.75"/>
  <cols>
    <col min="1" max="1" width="23.625" style="0" bestFit="1" customWidth="1"/>
    <col min="2" max="2" width="11.875" style="0" bestFit="1" customWidth="1"/>
    <col min="6" max="6" width="11.875" style="0" bestFit="1" customWidth="1"/>
  </cols>
  <sheetData>
    <row r="1" ht="14.25">
      <c r="A1" s="20" t="s">
        <v>17</v>
      </c>
    </row>
    <row r="2" spans="2:4" s="207" customFormat="1" ht="22.5">
      <c r="B2" s="207" t="s">
        <v>449</v>
      </c>
      <c r="C2" s="207" t="s">
        <v>450</v>
      </c>
      <c r="D2" s="198" t="s">
        <v>451</v>
      </c>
    </row>
    <row r="3" spans="1:6" ht="12.75">
      <c r="A3" t="s">
        <v>447</v>
      </c>
      <c r="B3" s="111">
        <v>0.0475</v>
      </c>
      <c r="C3" s="111">
        <v>0.04875</v>
      </c>
      <c r="F3" s="84"/>
    </row>
    <row r="4" spans="1:6" ht="12.75">
      <c r="A4" t="s">
        <v>448</v>
      </c>
      <c r="B4" s="111">
        <f>(3+7/8)/100</f>
        <v>0.03875</v>
      </c>
      <c r="C4" s="111">
        <v>0.04</v>
      </c>
      <c r="F4" s="84"/>
    </row>
    <row r="5" spans="1:6" ht="12.75">
      <c r="A5" t="s">
        <v>1088</v>
      </c>
      <c r="B5">
        <v>1.021</v>
      </c>
      <c r="C5">
        <v>1.022</v>
      </c>
      <c r="D5" t="s">
        <v>1089</v>
      </c>
      <c r="F5" s="84"/>
    </row>
    <row r="6" spans="1:9" ht="12.75">
      <c r="A6" t="s">
        <v>978</v>
      </c>
      <c r="B6">
        <f>1/C5</f>
        <v>0.9784735812133072</v>
      </c>
      <c r="C6">
        <f>1/B5</f>
        <v>0.9794319294809012</v>
      </c>
      <c r="D6" t="s">
        <v>931</v>
      </c>
      <c r="F6">
        <f>B6*(1+C3/4)/(1+B4/4)</f>
        <v>0.9808962951253177</v>
      </c>
      <c r="G6">
        <f>B6*(1+B3/4)/(1+C4/4)</f>
        <v>0.9802900544457578</v>
      </c>
      <c r="H6">
        <f>C6*(1+C3/4)/(1+B4/4)</f>
        <v>0.9818570162762732</v>
      </c>
      <c r="I6">
        <f>C6*(1+B3/4)/(1+C4/4)</f>
        <v>0.9812501818252346</v>
      </c>
    </row>
    <row r="7" spans="6:9" ht="12.75">
      <c r="F7">
        <f>B6*(1+B3/4)/(1+B4/4)</f>
        <v>0.9805934558863165</v>
      </c>
      <c r="G7">
        <f>B6*(1+C3/4)/(1+C4/4)</f>
        <v>0.9805927999844993</v>
      </c>
      <c r="H7">
        <f>C6*(1+B3/4)/(1+B4/4)</f>
        <v>0.9815538804268518</v>
      </c>
      <c r="I7">
        <f>C6*(1+C3/4)/(1+C4/4)</f>
        <v>0.9815532238826234</v>
      </c>
    </row>
    <row r="8" spans="1:9" ht="42">
      <c r="A8" t="s">
        <v>1091</v>
      </c>
      <c r="B8" s="198" t="s">
        <v>452</v>
      </c>
      <c r="C8" s="198" t="s">
        <v>453</v>
      </c>
      <c r="D8" t="s">
        <v>931</v>
      </c>
      <c r="F8">
        <f>B6*(1+B4/4)/(1+C3/4)</f>
        <v>0.9760568511578251</v>
      </c>
      <c r="G8">
        <f>B6*(1+C4/4)/(1+B3/4)</f>
        <v>0.9766604738979027</v>
      </c>
      <c r="H8">
        <f>C6*(1+B4/4)/(1+C3/4)</f>
        <v>0.977012832402838</v>
      </c>
      <c r="I8">
        <f>C6*(1+C4/4)/(1+B3/4)</f>
        <v>0.9776170463503003</v>
      </c>
    </row>
    <row r="9" spans="2:9" ht="12.75">
      <c r="B9" s="198"/>
      <c r="C9" s="198"/>
      <c r="F9">
        <f>B6*(1+B4/4)/(1+B3/4)</f>
        <v>0.9763582893453352</v>
      </c>
      <c r="G9">
        <f>B6*(1+C4/4)/(1+C3/4)</f>
        <v>0.9763589424147604</v>
      </c>
      <c r="H9">
        <f>C6*(1+B4/4)/(1+B3/4)</f>
        <v>0.9773145658285336</v>
      </c>
      <c r="I9">
        <f>C6*(1+C4/4)/(1+C3/4)</f>
        <v>0.9773152195375957</v>
      </c>
    </row>
    <row r="10" spans="2:6" ht="21">
      <c r="B10" s="198" t="s">
        <v>454</v>
      </c>
      <c r="C10" s="198" t="s">
        <v>455</v>
      </c>
      <c r="F10">
        <f>B6*(1+F4/4)/(1+F3/4)</f>
        <v>0.9784735812133072</v>
      </c>
    </row>
    <row r="11" spans="2:3" ht="12.75">
      <c r="B11" s="198">
        <f>1/(1+C4*90/360)</f>
        <v>0.9900990099009901</v>
      </c>
      <c r="C11" s="198">
        <f>1/(1+B4/4)</f>
        <v>0.9904054472299597</v>
      </c>
    </row>
    <row r="12" spans="2:3" ht="21">
      <c r="B12" s="198" t="s">
        <v>456</v>
      </c>
      <c r="C12" s="198" t="s">
        <v>457</v>
      </c>
    </row>
    <row r="13" spans="1:4" ht="12.75">
      <c r="A13" t="s">
        <v>1090</v>
      </c>
      <c r="B13" s="198">
        <f>B6</f>
        <v>0.9784735812133072</v>
      </c>
      <c r="C13" s="198">
        <f>C6</f>
        <v>0.9794319294809012</v>
      </c>
      <c r="D13" t="s">
        <v>931</v>
      </c>
    </row>
    <row r="14" spans="2:3" ht="21">
      <c r="B14" s="198" t="s">
        <v>458</v>
      </c>
      <c r="C14" s="198" t="s">
        <v>459</v>
      </c>
    </row>
    <row r="15" spans="2:3" ht="12.75">
      <c r="B15" s="198">
        <f>(1+B3*90/360)</f>
        <v>1.011875</v>
      </c>
      <c r="C15" s="198">
        <f>(1+C3/4)</f>
        <v>1.0121875</v>
      </c>
    </row>
    <row r="17" spans="1:4" ht="12.75">
      <c r="A17" s="1" t="s">
        <v>1091</v>
      </c>
      <c r="B17" s="236">
        <f>B11*B13*B15</f>
        <v>0.9802900544457577</v>
      </c>
      <c r="C17" s="236">
        <f>C11*C13*C15</f>
        <v>0.9818570162762733</v>
      </c>
      <c r="D17" t="s">
        <v>931</v>
      </c>
    </row>
    <row r="19" spans="1:7" ht="14.25">
      <c r="A19" s="41" t="s">
        <v>18</v>
      </c>
      <c r="G19" s="84"/>
    </row>
    <row r="20" spans="2:3" ht="22.5">
      <c r="B20" s="207" t="s">
        <v>449</v>
      </c>
      <c r="C20" s="207" t="s">
        <v>450</v>
      </c>
    </row>
    <row r="21" spans="1:3" ht="12.75">
      <c r="A21" t="s">
        <v>461</v>
      </c>
      <c r="B21" s="83">
        <v>0.045</v>
      </c>
      <c r="C21" s="83">
        <v>0.04625</v>
      </c>
    </row>
    <row r="22" spans="1:4" ht="12.75">
      <c r="A22" t="s">
        <v>1092</v>
      </c>
      <c r="B22">
        <v>1.021</v>
      </c>
      <c r="C22">
        <v>1.022</v>
      </c>
      <c r="D22" t="s">
        <v>1089</v>
      </c>
    </row>
    <row r="23" spans="1:4" ht="12.75">
      <c r="A23" t="s">
        <v>460</v>
      </c>
      <c r="B23">
        <v>1.015</v>
      </c>
      <c r="C23">
        <v>1.016</v>
      </c>
      <c r="D23" t="s">
        <v>1089</v>
      </c>
    </row>
    <row r="25" spans="2:3" ht="31.5">
      <c r="B25" s="198" t="s">
        <v>462</v>
      </c>
      <c r="C25" s="198" t="s">
        <v>463</v>
      </c>
    </row>
    <row r="27" spans="2:3" ht="12.75">
      <c r="B27" s="198" t="s">
        <v>464</v>
      </c>
      <c r="C27" s="198" t="s">
        <v>465</v>
      </c>
    </row>
    <row r="28" spans="2:3" ht="12.75">
      <c r="B28" s="217">
        <f>B21</f>
        <v>0.045</v>
      </c>
      <c r="C28" s="13">
        <f>1/B22</f>
        <v>0.9794319294809012</v>
      </c>
    </row>
    <row r="29" spans="2:3" ht="12.75">
      <c r="B29" s="198" t="s">
        <v>466</v>
      </c>
      <c r="C29" s="198" t="s">
        <v>467</v>
      </c>
    </row>
    <row r="30" spans="2:3" ht="12.75">
      <c r="B30" s="198">
        <f>1/C22</f>
        <v>0.9784735812133072</v>
      </c>
      <c r="C30" s="217">
        <f>C21</f>
        <v>0.04625</v>
      </c>
    </row>
    <row r="31" spans="2:3" ht="21">
      <c r="B31" s="198" t="s">
        <v>469</v>
      </c>
      <c r="C31" s="198" t="s">
        <v>470</v>
      </c>
    </row>
    <row r="32" spans="2:3" ht="12.75">
      <c r="B32" s="13">
        <f>B23</f>
        <v>1.015</v>
      </c>
      <c r="C32" s="13">
        <f>C23</f>
        <v>1.016</v>
      </c>
    </row>
    <row r="34" spans="1:3" ht="12.75">
      <c r="A34" s="1" t="s">
        <v>468</v>
      </c>
      <c r="B34" s="99">
        <f>((1+B28*180/360)*B30*B32-1)*360/180</f>
        <v>0.030993150684931248</v>
      </c>
      <c r="C34" s="99">
        <f>((C28*(1+C30*180/360)*C32)-1)*360/180</f>
        <v>0.0362291870714988</v>
      </c>
    </row>
    <row r="36" ht="14.25">
      <c r="A36" s="41" t="s">
        <v>550</v>
      </c>
    </row>
    <row r="37" spans="2:4" ht="22.5">
      <c r="B37" s="207" t="s">
        <v>449</v>
      </c>
      <c r="C37" s="207" t="s">
        <v>450</v>
      </c>
      <c r="D37" t="s">
        <v>471</v>
      </c>
    </row>
    <row r="38" spans="1:3" ht="25.5">
      <c r="A38" s="3" t="s">
        <v>472</v>
      </c>
      <c r="B38" s="216">
        <v>0.0375</v>
      </c>
      <c r="C38" s="216">
        <v>0.03875</v>
      </c>
    </row>
    <row r="39" spans="1:3" ht="12.75">
      <c r="A39" s="3"/>
      <c r="B39" s="216"/>
      <c r="C39" s="216"/>
    </row>
    <row r="40" spans="1:3" ht="12.75">
      <c r="A40" s="3"/>
      <c r="B40" s="221" t="s">
        <v>1183</v>
      </c>
      <c r="C40" s="224">
        <v>0.02</v>
      </c>
    </row>
    <row r="41" spans="2:6" ht="12.75">
      <c r="B41" t="s">
        <v>1265</v>
      </c>
      <c r="C41" t="s">
        <v>916</v>
      </c>
      <c r="D41" t="s">
        <v>1165</v>
      </c>
      <c r="E41" t="s">
        <v>1166</v>
      </c>
      <c r="F41" t="s">
        <v>1164</v>
      </c>
    </row>
    <row r="42" spans="1:4" ht="12.75">
      <c r="A42" s="154" t="s">
        <v>475</v>
      </c>
      <c r="B42" s="216"/>
      <c r="D42" s="216"/>
    </row>
    <row r="43" spans="1:6" s="13" customFormat="1" ht="10.5">
      <c r="A43" s="198" t="s">
        <v>473</v>
      </c>
      <c r="B43" s="218">
        <v>500000000</v>
      </c>
      <c r="C43" s="13">
        <v>90</v>
      </c>
      <c r="D43" s="220">
        <f>C38</f>
        <v>0.03875</v>
      </c>
      <c r="E43" s="13">
        <v>90</v>
      </c>
      <c r="F43" s="218">
        <f>B43/(1+C$40*C43/360)</f>
        <v>497512437.81094533</v>
      </c>
    </row>
    <row r="44" spans="1:6" s="13" customFormat="1" ht="10.5">
      <c r="A44" s="198" t="s">
        <v>474</v>
      </c>
      <c r="B44" s="218">
        <f>-B43*(1+D43*E43/360)</f>
        <v>-504843750.00000006</v>
      </c>
      <c r="C44" s="13">
        <v>180</v>
      </c>
      <c r="F44" s="218">
        <f>B44/(1+C$40*C44/360)</f>
        <v>-499845297.029703</v>
      </c>
    </row>
    <row r="45" spans="1:6" ht="12.75">
      <c r="A45" s="3"/>
      <c r="B45" s="218"/>
      <c r="E45" s="222" t="s">
        <v>1095</v>
      </c>
      <c r="F45" s="223">
        <f>SUM(F43:F44)</f>
        <v>-2332859.218757689</v>
      </c>
    </row>
    <row r="46" spans="1:2" ht="12.75">
      <c r="A46" s="154" t="s">
        <v>480</v>
      </c>
      <c r="B46" s="218"/>
    </row>
    <row r="47" spans="1:7" s="13" customFormat="1" ht="10.5">
      <c r="A47" s="198" t="s">
        <v>476</v>
      </c>
      <c r="B47" s="218">
        <f>B43/(1+D48/4)</f>
        <v>495202723.61497986</v>
      </c>
      <c r="C47" s="198">
        <v>0</v>
      </c>
      <c r="D47" s="220">
        <f>C34</f>
        <v>0.0362291870714988</v>
      </c>
      <c r="E47" s="13">
        <v>180</v>
      </c>
      <c r="F47" s="218">
        <f>B47/(1+C$40*C47/360)</f>
        <v>495202723.61497986</v>
      </c>
      <c r="G47" s="198"/>
    </row>
    <row r="48" spans="1:7" s="13" customFormat="1" ht="10.5">
      <c r="A48" s="13" t="s">
        <v>477</v>
      </c>
      <c r="B48" s="218">
        <f>-B47</f>
        <v>-495202723.61497986</v>
      </c>
      <c r="C48" s="198">
        <v>0</v>
      </c>
      <c r="D48" s="220">
        <f>B4</f>
        <v>0.03875</v>
      </c>
      <c r="E48" s="198">
        <v>90</v>
      </c>
      <c r="F48" s="218">
        <f>B48/(1+C$40*C48/360)</f>
        <v>-495202723.61497986</v>
      </c>
      <c r="G48" s="198"/>
    </row>
    <row r="49" spans="1:6" s="13" customFormat="1" ht="10.5">
      <c r="A49" s="13" t="s">
        <v>478</v>
      </c>
      <c r="B49" s="218">
        <f>-B48*(1+D48*E48/360)</f>
        <v>500000000</v>
      </c>
      <c r="C49" s="13">
        <v>90</v>
      </c>
      <c r="D49" s="217"/>
      <c r="F49" s="218">
        <f>B49/(1+C$40*C49/360)</f>
        <v>497512437.81094533</v>
      </c>
    </row>
    <row r="50" spans="1:6" s="13" customFormat="1" ht="10.5">
      <c r="A50" s="13" t="s">
        <v>479</v>
      </c>
      <c r="B50" s="218">
        <f>-B47*(1+D47*E47/360)</f>
        <v>-504173119.6710613</v>
      </c>
      <c r="C50" s="198">
        <v>180</v>
      </c>
      <c r="D50" s="198"/>
      <c r="E50" s="198"/>
      <c r="F50" s="218">
        <f>B50/(1+C$40*C50/360)</f>
        <v>-499181306.60501117</v>
      </c>
    </row>
    <row r="51" spans="5:6" ht="12.75">
      <c r="E51" s="222" t="s">
        <v>1095</v>
      </c>
      <c r="F51" s="223">
        <f>SUM(F47:F50)</f>
        <v>-1668868.794065833</v>
      </c>
    </row>
    <row r="53" spans="1:6" ht="12.75">
      <c r="A53" s="154" t="s">
        <v>481</v>
      </c>
      <c r="F53" s="223">
        <f>F51-F45</f>
        <v>663990.4246918559</v>
      </c>
    </row>
  </sheetData>
  <printOptions/>
  <pageMargins left="0.7874015748031497" right="0.7874015748031497" top="0.984251968503937" bottom="0.984251968503937" header="0.5118110236220472" footer="0.5118110236220472"/>
  <pageSetup horizontalDpi="200" verticalDpi="200" orientation="portrait" paperSize="9" r:id="rId2"/>
  <headerFooter alignWithMargins="0">
    <oddFooter>&amp;L&amp;"Verdana,Italique"&amp;9&amp;F - &amp;A&amp;C&amp;P / &amp;N&amp;R&amp;"Verdana,Italique"&amp;9&amp;D -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D20"/>
  <sheetViews>
    <sheetView showGridLines="0" zoomScale="75" zoomScaleNormal="75" workbookViewId="0" topLeftCell="A1">
      <selection activeCell="A2" sqref="A2"/>
    </sheetView>
  </sheetViews>
  <sheetFormatPr defaultColWidth="11.00390625" defaultRowHeight="12.75"/>
  <cols>
    <col min="1" max="1" width="52.625" style="0" bestFit="1" customWidth="1"/>
    <col min="2" max="4" width="16.875" style="0" customWidth="1"/>
  </cols>
  <sheetData>
    <row r="1" ht="14.25">
      <c r="A1" s="41" t="s">
        <v>483</v>
      </c>
    </row>
    <row r="2" spans="2:4" ht="12.75">
      <c r="B2" s="4">
        <v>2005</v>
      </c>
      <c r="C2" s="4">
        <v>2006</v>
      </c>
      <c r="D2" s="4">
        <v>2007</v>
      </c>
    </row>
    <row r="3" spans="1:4" ht="12.75">
      <c r="A3" s="1" t="s">
        <v>266</v>
      </c>
      <c r="B3" s="40">
        <f>' Chapter 3'!B80</f>
        <v>14.1</v>
      </c>
      <c r="C3" s="40">
        <f>' Chapter 3'!C80</f>
        <v>16.5</v>
      </c>
      <c r="D3" s="40">
        <f>' Chapter 3'!D80</f>
        <v>16.9</v>
      </c>
    </row>
    <row r="4" spans="1:4" ht="12.75">
      <c r="A4" s="30" t="s">
        <v>267</v>
      </c>
      <c r="B4" s="23">
        <f>' Chapter 3'!B75</f>
        <v>6</v>
      </c>
      <c r="C4" s="23">
        <f>' Chapter 3'!C75</f>
        <v>6</v>
      </c>
      <c r="D4" s="23">
        <f>' Chapter 3'!D75</f>
        <v>6</v>
      </c>
    </row>
    <row r="5" spans="1:4" ht="12.75">
      <c r="A5" s="30" t="s">
        <v>270</v>
      </c>
      <c r="B5" s="23">
        <v>0</v>
      </c>
      <c r="C5" s="23">
        <v>0</v>
      </c>
      <c r="D5" s="23">
        <v>0</v>
      </c>
    </row>
    <row r="6" spans="1:4" ht="12.75">
      <c r="A6" s="1" t="s">
        <v>268</v>
      </c>
      <c r="B6" s="40">
        <f>B3+B4+B5</f>
        <v>20.1</v>
      </c>
      <c r="C6" s="40">
        <f>C3+C4+C5</f>
        <v>22.5</v>
      </c>
      <c r="D6" s="40">
        <f>D3+D4+D5</f>
        <v>22.9</v>
      </c>
    </row>
    <row r="7" spans="1:4" ht="12.75">
      <c r="A7" s="30" t="s">
        <v>271</v>
      </c>
      <c r="B7" s="23">
        <f>'Chapter 4'!C9-'Chapter 4'!B9</f>
        <v>36</v>
      </c>
      <c r="C7" s="23">
        <f>'Chapter 4'!D9-'Chapter 4'!C9</f>
        <v>0</v>
      </c>
      <c r="D7" s="23">
        <f>'Chapter 4'!E9-'Chapter 4'!D9</f>
        <v>0</v>
      </c>
    </row>
    <row r="8" spans="1:4" ht="12.75">
      <c r="A8" s="1" t="s">
        <v>272</v>
      </c>
      <c r="B8" s="40">
        <f>B6-B7</f>
        <v>-15.899999999999999</v>
      </c>
      <c r="C8" s="40">
        <f>C6-C7</f>
        <v>22.5</v>
      </c>
      <c r="D8" s="40">
        <f>D6-D7</f>
        <v>22.9</v>
      </c>
    </row>
    <row r="9" spans="1:4" ht="12.75">
      <c r="A9" s="30" t="s">
        <v>277</v>
      </c>
      <c r="B9" s="23">
        <f>-'Chapter 2'!C34</f>
        <v>30</v>
      </c>
      <c r="C9" s="23">
        <f>'Chapter 2'!D34</f>
        <v>0</v>
      </c>
      <c r="D9" s="23">
        <f>'Chapter 2'!E34</f>
        <v>0</v>
      </c>
    </row>
    <row r="10" spans="1:4" ht="12.75">
      <c r="A10" s="30" t="s">
        <v>276</v>
      </c>
      <c r="B10" s="23">
        <v>0</v>
      </c>
      <c r="C10" s="23">
        <v>0</v>
      </c>
      <c r="D10" s="23">
        <v>0</v>
      </c>
    </row>
    <row r="11" spans="1:4" ht="12.75">
      <c r="A11" s="1" t="s">
        <v>1103</v>
      </c>
      <c r="B11" s="40">
        <f>B8-B9+B10</f>
        <v>-45.9</v>
      </c>
      <c r="C11" s="40">
        <f>C8-C9+C10</f>
        <v>22.5</v>
      </c>
      <c r="D11" s="40">
        <f>D8-D9+D10</f>
        <v>22.9</v>
      </c>
    </row>
    <row r="12" spans="1:4" ht="12.75">
      <c r="A12" s="30" t="s">
        <v>274</v>
      </c>
      <c r="B12" s="23">
        <v>0</v>
      </c>
      <c r="C12" s="23">
        <v>0</v>
      </c>
      <c r="D12" s="23">
        <v>0</v>
      </c>
    </row>
    <row r="13" spans="1:4" ht="12.75">
      <c r="A13" s="30" t="s">
        <v>275</v>
      </c>
      <c r="B13" s="23">
        <f>'Chapter 4'!B15</f>
        <v>0</v>
      </c>
      <c r="C13" s="23">
        <f>'Chapter 4'!C15</f>
        <v>0</v>
      </c>
      <c r="D13" s="23">
        <f>'Chapter 4'!D15</f>
        <v>0</v>
      </c>
    </row>
    <row r="14" spans="1:4" ht="12.75">
      <c r="A14" s="1" t="s">
        <v>273</v>
      </c>
      <c r="B14" s="40">
        <f>B3+B4+B5-B7-B9+B10+B12-B13</f>
        <v>-45.9</v>
      </c>
      <c r="C14" s="40">
        <f>C3+C4+C5-C7-C9+C12-C13</f>
        <v>22.5</v>
      </c>
      <c r="D14" s="40">
        <f>D3+D4+D5-D7-D9+D12-D13</f>
        <v>22.9</v>
      </c>
    </row>
    <row r="16" spans="1:4" ht="12.75">
      <c r="A16" t="s">
        <v>281</v>
      </c>
      <c r="B16" s="23">
        <v>4</v>
      </c>
      <c r="C16" s="23">
        <f>-('Chapter 4'!D16-'Chapter 4'!C16)</f>
        <v>4</v>
      </c>
      <c r="D16" s="23">
        <f>-('Chapter 4'!E16-'Chapter 4'!D16)</f>
        <v>4</v>
      </c>
    </row>
    <row r="17" spans="1:4" ht="12.75">
      <c r="A17" s="30" t="s">
        <v>278</v>
      </c>
      <c r="B17" s="23">
        <v>20</v>
      </c>
      <c r="C17" s="23">
        <v>0</v>
      </c>
      <c r="D17" s="23">
        <v>0</v>
      </c>
    </row>
    <row r="18" spans="1:4" ht="12.75">
      <c r="A18" s="30" t="s">
        <v>279</v>
      </c>
      <c r="B18" s="23">
        <v>0</v>
      </c>
      <c r="C18" s="23">
        <v>0</v>
      </c>
      <c r="D18" s="23">
        <v>0</v>
      </c>
    </row>
    <row r="19" spans="1:4" ht="12.75">
      <c r="A19" s="30" t="s">
        <v>280</v>
      </c>
      <c r="B19" s="23">
        <f>'Chapter 4'!C18-'Chapter 4'!B18</f>
        <v>-29.9</v>
      </c>
      <c r="C19" s="23">
        <f>'Chapter 4'!D18-'Chapter 4'!C18</f>
        <v>18.5</v>
      </c>
      <c r="D19" s="23">
        <f>'Chapter 4'!E18-'Chapter 4'!D18</f>
        <v>18.9</v>
      </c>
    </row>
    <row r="20" spans="1:4" ht="12.75">
      <c r="A20" s="1" t="s">
        <v>273</v>
      </c>
      <c r="B20" s="40">
        <f>B16-B17+B18+B19</f>
        <v>-45.9</v>
      </c>
      <c r="C20" s="40">
        <f>C16-C17+C18+C19</f>
        <v>22.5</v>
      </c>
      <c r="D20" s="40">
        <f>D16-D17+D18+D19</f>
        <v>22.9</v>
      </c>
    </row>
  </sheetData>
  <printOptions/>
  <pageMargins left="0.7874015748031497" right="0.7874015748031497" top="0.984251968503937" bottom="0.984251968503937" header="0.5118110236220472" footer="0.5118110236220472"/>
  <pageSetup fitToHeight="2" fitToWidth="1" horizontalDpi="200" verticalDpi="200" orientation="landscape" paperSize="9" r:id="rId1"/>
  <headerFooter alignWithMargins="0">
    <oddFooter>&amp;L&amp;"Verdana,Italique"&amp;9&amp;F - &amp;A&amp;C&amp;P / &amp;N&amp;R&amp;"Verdana,Italique"&amp;9&amp;D -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55"/>
  <sheetViews>
    <sheetView showGridLines="0" zoomScale="75" zoomScaleNormal="75" workbookViewId="0" topLeftCell="A1">
      <selection activeCell="A1" sqref="A1"/>
    </sheetView>
  </sheetViews>
  <sheetFormatPr defaultColWidth="11.00390625" defaultRowHeight="12.75"/>
  <cols>
    <col min="1" max="1" width="33.25390625" style="0" customWidth="1"/>
    <col min="2" max="4" width="5.625" style="0" customWidth="1"/>
    <col min="5" max="5" width="24.625" style="0" customWidth="1"/>
    <col min="6" max="8" width="5.625" style="0" customWidth="1"/>
  </cols>
  <sheetData>
    <row r="1" ht="14.25">
      <c r="A1" s="41" t="s">
        <v>287</v>
      </c>
    </row>
    <row r="2" spans="1:7" ht="12.75">
      <c r="A2" s="1" t="s">
        <v>284</v>
      </c>
      <c r="B2" s="4" t="s">
        <v>16</v>
      </c>
      <c r="C2" s="4" t="s">
        <v>282</v>
      </c>
      <c r="D2" s="4"/>
      <c r="E2" s="1" t="s">
        <v>285</v>
      </c>
      <c r="F2" s="4" t="s">
        <v>16</v>
      </c>
      <c r="G2" s="4" t="s">
        <v>282</v>
      </c>
    </row>
    <row r="3" spans="1:7" ht="12.75">
      <c r="A3" s="3" t="s">
        <v>288</v>
      </c>
      <c r="B3">
        <v>100</v>
      </c>
      <c r="C3">
        <v>30</v>
      </c>
      <c r="E3" t="s">
        <v>293</v>
      </c>
      <c r="F3">
        <v>40</v>
      </c>
      <c r="G3">
        <v>10</v>
      </c>
    </row>
    <row r="4" spans="1:7" ht="12.75" customHeight="1">
      <c r="A4" s="235" t="s">
        <v>289</v>
      </c>
      <c r="E4" t="s">
        <v>294</v>
      </c>
      <c r="F4">
        <v>80</v>
      </c>
      <c r="G4">
        <v>10</v>
      </c>
    </row>
    <row r="5" spans="1:7" ht="12.75">
      <c r="A5" s="10" t="s">
        <v>291</v>
      </c>
      <c r="B5">
        <v>16</v>
      </c>
      <c r="E5" t="s">
        <v>205</v>
      </c>
      <c r="F5">
        <v>10</v>
      </c>
      <c r="G5">
        <v>5</v>
      </c>
    </row>
    <row r="6" spans="1:7" ht="12.75">
      <c r="A6" s="10" t="s">
        <v>290</v>
      </c>
      <c r="B6">
        <v>5</v>
      </c>
      <c r="E6" t="s">
        <v>295</v>
      </c>
      <c r="F6">
        <v>191</v>
      </c>
      <c r="G6">
        <v>75</v>
      </c>
    </row>
    <row r="7" spans="1:3" ht="12.75">
      <c r="A7" s="3" t="s">
        <v>292</v>
      </c>
      <c r="B7">
        <v>200</v>
      </c>
      <c r="C7">
        <v>70</v>
      </c>
    </row>
    <row r="8" spans="1:7" ht="12.75">
      <c r="A8" s="1" t="s">
        <v>1095</v>
      </c>
      <c r="B8" s="1">
        <f>SUM(B3:B7)</f>
        <v>321</v>
      </c>
      <c r="C8" s="1">
        <f>SUM(C3:C7)</f>
        <v>100</v>
      </c>
      <c r="D8" s="1"/>
      <c r="E8" s="1" t="s">
        <v>1095</v>
      </c>
      <c r="F8" s="1">
        <f>SUM(F3:F7)</f>
        <v>321</v>
      </c>
      <c r="G8" s="1">
        <f>SUM(G3:G7)</f>
        <v>100</v>
      </c>
    </row>
    <row r="10" spans="1:4" ht="12.75">
      <c r="A10" s="1" t="s">
        <v>286</v>
      </c>
      <c r="B10" s="4" t="s">
        <v>16</v>
      </c>
      <c r="C10" s="4" t="s">
        <v>282</v>
      </c>
      <c r="D10" s="4"/>
    </row>
    <row r="11" spans="1:3" ht="12.75">
      <c r="A11" s="30" t="s">
        <v>299</v>
      </c>
      <c r="B11">
        <v>200</v>
      </c>
      <c r="C11">
        <v>90</v>
      </c>
    </row>
    <row r="12" spans="1:3" ht="12.75">
      <c r="A12" s="30" t="s">
        <v>298</v>
      </c>
      <c r="B12">
        <v>100</v>
      </c>
      <c r="C12">
        <v>50</v>
      </c>
    </row>
    <row r="13" spans="1:3" ht="12.75">
      <c r="A13" s="30" t="s">
        <v>301</v>
      </c>
      <c r="C13">
        <v>2</v>
      </c>
    </row>
    <row r="14" spans="1:3" ht="12.75">
      <c r="A14" s="30" t="s">
        <v>302</v>
      </c>
      <c r="B14">
        <v>25</v>
      </c>
      <c r="C14">
        <v>20</v>
      </c>
    </row>
    <row r="15" spans="1:3" ht="12.75">
      <c r="A15" s="30" t="s">
        <v>303</v>
      </c>
      <c r="B15">
        <v>40</v>
      </c>
      <c r="C15">
        <v>8</v>
      </c>
    </row>
    <row r="16" spans="1:3" ht="12.75">
      <c r="A16" s="30" t="s">
        <v>304</v>
      </c>
      <c r="B16">
        <v>10</v>
      </c>
      <c r="C16">
        <v>1</v>
      </c>
    </row>
    <row r="17" spans="1:2" ht="12.75">
      <c r="A17" s="30" t="s">
        <v>305</v>
      </c>
      <c r="B17">
        <v>3</v>
      </c>
    </row>
    <row r="18" spans="1:2" ht="12.75">
      <c r="A18" s="30" t="s">
        <v>306</v>
      </c>
      <c r="B18">
        <v>9</v>
      </c>
    </row>
    <row r="19" spans="1:2" ht="12.75">
      <c r="A19" s="30" t="s">
        <v>307</v>
      </c>
      <c r="B19">
        <v>2</v>
      </c>
    </row>
    <row r="20" spans="1:3" ht="12.75">
      <c r="A20" s="30" t="s">
        <v>308</v>
      </c>
      <c r="B20">
        <v>11</v>
      </c>
      <c r="C20">
        <v>4</v>
      </c>
    </row>
    <row r="21" spans="1:4" ht="12.75">
      <c r="A21" s="46" t="s">
        <v>309</v>
      </c>
      <c r="B21" s="1">
        <f>B11-B12-B13-B14-B15-B16+B17-B18+B19-B20</f>
        <v>10</v>
      </c>
      <c r="C21" s="1">
        <f>C11-C12-C13-C14-C15-C16+C17-C18+C19-C20</f>
        <v>5</v>
      </c>
      <c r="D21" s="1"/>
    </row>
    <row r="24" ht="12.75">
      <c r="A24" s="4" t="s">
        <v>283</v>
      </c>
    </row>
    <row r="25" spans="1:8" ht="12.75">
      <c r="A25" s="1" t="s">
        <v>284</v>
      </c>
      <c r="B25" s="47">
        <v>0.8</v>
      </c>
      <c r="C25" s="47">
        <v>0.5</v>
      </c>
      <c r="D25" s="47">
        <v>0.2</v>
      </c>
      <c r="E25" s="1" t="s">
        <v>285</v>
      </c>
      <c r="F25" s="47">
        <v>0.8</v>
      </c>
      <c r="G25" s="47">
        <v>0.5</v>
      </c>
      <c r="H25" s="47">
        <v>0.2</v>
      </c>
    </row>
    <row r="26" spans="1:8" ht="12.75">
      <c r="A26" s="3" t="s">
        <v>288</v>
      </c>
      <c r="B26">
        <f>B3+C3</f>
        <v>130</v>
      </c>
      <c r="C26">
        <f>B3+$C$25*C3</f>
        <v>115</v>
      </c>
      <c r="D26">
        <f>B3</f>
        <v>100</v>
      </c>
      <c r="E26" t="s">
        <v>293</v>
      </c>
      <c r="F26">
        <f>F3</f>
        <v>40</v>
      </c>
      <c r="G26">
        <f>F3</f>
        <v>40</v>
      </c>
      <c r="H26">
        <f>F3</f>
        <v>40</v>
      </c>
    </row>
    <row r="27" spans="1:5" ht="12.75">
      <c r="A27" s="235" t="s">
        <v>289</v>
      </c>
      <c r="B27">
        <f>B28+B29</f>
        <v>5</v>
      </c>
      <c r="C27">
        <f>C28+C29</f>
        <v>5</v>
      </c>
      <c r="D27">
        <f>D28+D29</f>
        <v>10</v>
      </c>
      <c r="E27" t="s">
        <v>294</v>
      </c>
    </row>
    <row r="28" spans="1:8" ht="12.75">
      <c r="A28" s="10" t="s">
        <v>291</v>
      </c>
      <c r="B28" s="13"/>
      <c r="C28" s="13"/>
      <c r="D28" s="13">
        <f>SUM(G3:G5)*D25</f>
        <v>5</v>
      </c>
      <c r="E28" s="10" t="s">
        <v>297</v>
      </c>
      <c r="F28">
        <f>F4+G4+G3-B5-F29</f>
        <v>80</v>
      </c>
      <c r="G28">
        <f>F4+G4*C25+G3*C25-B5</f>
        <v>74</v>
      </c>
      <c r="H28">
        <f>F4+D25*SUM(G3:G4)-B5</f>
        <v>68</v>
      </c>
    </row>
    <row r="29" spans="1:6" ht="12.75">
      <c r="A29" s="10" t="s">
        <v>290</v>
      </c>
      <c r="B29" s="13">
        <f>B6</f>
        <v>5</v>
      </c>
      <c r="C29" s="13">
        <f>B6+$C$25*C6</f>
        <v>5</v>
      </c>
      <c r="D29" s="13">
        <f>B6</f>
        <v>5</v>
      </c>
      <c r="E29" s="10" t="s">
        <v>296</v>
      </c>
      <c r="F29">
        <f>(G4+G3)*(1-B25)</f>
        <v>3.999999999999999</v>
      </c>
    </row>
    <row r="30" spans="1:5" ht="12.75">
      <c r="A30" s="3" t="s">
        <v>292</v>
      </c>
      <c r="B30">
        <f>B7+C7</f>
        <v>270</v>
      </c>
      <c r="C30">
        <f>B7+$C$25*C7</f>
        <v>235</v>
      </c>
      <c r="D30">
        <f>B7</f>
        <v>200</v>
      </c>
      <c r="E30" t="s">
        <v>205</v>
      </c>
    </row>
    <row r="31" spans="1:8" ht="12.75">
      <c r="A31" s="3"/>
      <c r="E31" s="10" t="s">
        <v>297</v>
      </c>
      <c r="F31">
        <f>F5+G5*B25</f>
        <v>14</v>
      </c>
      <c r="G31">
        <f>F5+G5*C25</f>
        <v>12.5</v>
      </c>
      <c r="H31">
        <f>F5+G5*D25</f>
        <v>11</v>
      </c>
    </row>
    <row r="32" spans="1:6" ht="12.75">
      <c r="A32" s="3"/>
      <c r="E32" s="10" t="s">
        <v>296</v>
      </c>
      <c r="F32">
        <f>G5*(1-B25)</f>
        <v>0.9999999999999998</v>
      </c>
    </row>
    <row r="33" spans="1:8" ht="12.75">
      <c r="A33" s="3"/>
      <c r="E33" t="s">
        <v>295</v>
      </c>
      <c r="F33">
        <f>F6+G6</f>
        <v>266</v>
      </c>
      <c r="G33">
        <f>F6+G6*$C$25</f>
        <v>228.5</v>
      </c>
      <c r="H33">
        <f>F6</f>
        <v>191</v>
      </c>
    </row>
    <row r="34" spans="1:8" ht="12.75">
      <c r="A34" s="1" t="s">
        <v>1095</v>
      </c>
      <c r="B34" s="1">
        <f>B26+B27+B30</f>
        <v>405</v>
      </c>
      <c r="C34" s="1">
        <f>C26+C27+C30</f>
        <v>355</v>
      </c>
      <c r="D34" s="1">
        <f>D26+D27+D30</f>
        <v>310</v>
      </c>
      <c r="E34" s="1" t="s">
        <v>1095</v>
      </c>
      <c r="F34" s="1">
        <f>SUM(F26:F33)</f>
        <v>405</v>
      </c>
      <c r="G34" s="1">
        <f>SUM(G26:G33)</f>
        <v>355</v>
      </c>
      <c r="H34" s="1">
        <f>SUM(H26:H33)</f>
        <v>310</v>
      </c>
    </row>
    <row r="35" spans="5:8" ht="12.75">
      <c r="E35" s="1"/>
      <c r="F35" s="1"/>
      <c r="G35" s="1"/>
      <c r="H35" s="1"/>
    </row>
    <row r="36" spans="5:8" ht="12.75">
      <c r="E36" s="1"/>
      <c r="F36" s="1"/>
      <c r="G36" s="1"/>
      <c r="H36" s="1"/>
    </row>
    <row r="37" spans="5:8" ht="12.75">
      <c r="E37" s="1"/>
      <c r="F37" s="1"/>
      <c r="G37" s="1"/>
      <c r="H37" s="1"/>
    </row>
    <row r="38" spans="5:8" ht="12.75">
      <c r="E38" s="1"/>
      <c r="F38" s="1"/>
      <c r="G38" s="1"/>
      <c r="H38" s="1"/>
    </row>
    <row r="40" spans="1:4" ht="12.75">
      <c r="A40" s="1" t="s">
        <v>286</v>
      </c>
      <c r="B40" s="47">
        <v>0.8</v>
      </c>
      <c r="C40" s="47">
        <v>0.5</v>
      </c>
      <c r="D40" s="47">
        <v>0.2</v>
      </c>
    </row>
    <row r="41" spans="1:4" ht="12.75">
      <c r="A41" s="30" t="s">
        <v>299</v>
      </c>
      <c r="B41">
        <f>B11+C11</f>
        <v>290</v>
      </c>
      <c r="C41">
        <f>B11+C11*$C$25</f>
        <v>245</v>
      </c>
      <c r="D41">
        <f aca="true" t="shared" si="0" ref="D41:D47">B11</f>
        <v>200</v>
      </c>
    </row>
    <row r="42" spans="1:4" ht="12.75">
      <c r="A42" s="30" t="s">
        <v>298</v>
      </c>
      <c r="B42">
        <f aca="true" t="shared" si="1" ref="B42:B47">B12+C12</f>
        <v>150</v>
      </c>
      <c r="C42">
        <f aca="true" t="shared" si="2" ref="C42:C47">B12+C12*$C$25</f>
        <v>125</v>
      </c>
      <c r="D42">
        <f t="shared" si="0"/>
        <v>100</v>
      </c>
    </row>
    <row r="43" spans="1:4" ht="12.75">
      <c r="A43" s="30" t="s">
        <v>301</v>
      </c>
      <c r="B43">
        <f t="shared" si="1"/>
        <v>2</v>
      </c>
      <c r="C43">
        <f t="shared" si="2"/>
        <v>1</v>
      </c>
      <c r="D43">
        <f t="shared" si="0"/>
        <v>0</v>
      </c>
    </row>
    <row r="44" spans="1:4" ht="12.75">
      <c r="A44" s="30" t="s">
        <v>302</v>
      </c>
      <c r="B44">
        <f t="shared" si="1"/>
        <v>45</v>
      </c>
      <c r="C44">
        <f t="shared" si="2"/>
        <v>35</v>
      </c>
      <c r="D44">
        <f t="shared" si="0"/>
        <v>25</v>
      </c>
    </row>
    <row r="45" spans="1:4" ht="12.75">
      <c r="A45" s="30" t="s">
        <v>303</v>
      </c>
      <c r="B45">
        <f t="shared" si="1"/>
        <v>48</v>
      </c>
      <c r="C45">
        <f t="shared" si="2"/>
        <v>44</v>
      </c>
      <c r="D45">
        <f t="shared" si="0"/>
        <v>40</v>
      </c>
    </row>
    <row r="46" spans="1:4" ht="12.75">
      <c r="A46" s="30" t="s">
        <v>304</v>
      </c>
      <c r="B46">
        <f t="shared" si="1"/>
        <v>11</v>
      </c>
      <c r="C46">
        <f t="shared" si="2"/>
        <v>10.5</v>
      </c>
      <c r="D46">
        <f t="shared" si="0"/>
        <v>10</v>
      </c>
    </row>
    <row r="47" spans="1:4" ht="12.75">
      <c r="A47" s="30" t="s">
        <v>305</v>
      </c>
      <c r="B47">
        <f t="shared" si="1"/>
        <v>3</v>
      </c>
      <c r="C47">
        <f t="shared" si="2"/>
        <v>3</v>
      </c>
      <c r="D47">
        <f t="shared" si="0"/>
        <v>3</v>
      </c>
    </row>
    <row r="48" spans="1:4" ht="12.75">
      <c r="A48" s="34" t="s">
        <v>310</v>
      </c>
      <c r="D48">
        <f>C21*D25</f>
        <v>1</v>
      </c>
    </row>
    <row r="49" spans="1:4" ht="12.75">
      <c r="A49" s="30" t="s">
        <v>306</v>
      </c>
      <c r="B49">
        <f>B18+C18</f>
        <v>9</v>
      </c>
      <c r="C49">
        <f>B18+C18*$C$25</f>
        <v>9</v>
      </c>
      <c r="D49">
        <f>B18</f>
        <v>9</v>
      </c>
    </row>
    <row r="50" spans="1:4" ht="12.75">
      <c r="A50" s="30" t="s">
        <v>307</v>
      </c>
      <c r="B50">
        <f>B19+C19</f>
        <v>2</v>
      </c>
      <c r="C50">
        <f>B19+C19*$C$25</f>
        <v>2</v>
      </c>
      <c r="D50">
        <f>B19</f>
        <v>2</v>
      </c>
    </row>
    <row r="51" spans="1:4" ht="12.75">
      <c r="A51" s="30" t="s">
        <v>308</v>
      </c>
      <c r="B51">
        <f>B20+C20</f>
        <v>15</v>
      </c>
      <c r="C51">
        <f>B20+C20*$C$25</f>
        <v>13</v>
      </c>
      <c r="D51">
        <f>B20</f>
        <v>11</v>
      </c>
    </row>
    <row r="52" spans="1:4" ht="12.75">
      <c r="A52" s="46" t="s">
        <v>309</v>
      </c>
      <c r="B52" s="1">
        <f>B41-B42-B43-B44-B45-B46+B47-B49+B50-B51</f>
        <v>15</v>
      </c>
      <c r="C52" s="1">
        <f>C41-C42-C43-C44-C45-C46+C47-C49+C50-C51</f>
        <v>12.5</v>
      </c>
      <c r="D52" s="1">
        <f>D41-D42-D43-D44-D45-D46+D47+D48-D49+D50-D51</f>
        <v>11</v>
      </c>
    </row>
    <row r="53" spans="1:2" ht="12.75">
      <c r="A53" s="30" t="s">
        <v>311</v>
      </c>
      <c r="B53" s="66">
        <f>(1-B25)*C21</f>
        <v>0.9999999999999998</v>
      </c>
    </row>
    <row r="54" spans="1:4" ht="12.75">
      <c r="A54" s="46" t="s">
        <v>312</v>
      </c>
      <c r="B54" s="1">
        <f>B52-B53</f>
        <v>14</v>
      </c>
      <c r="C54" s="1"/>
      <c r="D54" s="1"/>
    </row>
    <row r="55" ht="12.75">
      <c r="A55" s="10"/>
    </row>
  </sheetData>
  <printOptions/>
  <pageMargins left="0.7874015748031497" right="0.7874015748031497" top="0.984251968503937" bottom="0.984251968503937" header="0.5118110236220472" footer="0.5118110236220472"/>
  <pageSetup fitToHeight="3"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137"/>
  <sheetViews>
    <sheetView showGridLines="0" zoomScale="75" zoomScaleNormal="75" workbookViewId="0" topLeftCell="A1">
      <selection activeCell="A1" sqref="A1"/>
    </sheetView>
  </sheetViews>
  <sheetFormatPr defaultColWidth="11.00390625" defaultRowHeight="12.75"/>
  <cols>
    <col min="1" max="1" width="37.25390625" style="0" bestFit="1" customWidth="1"/>
    <col min="2" max="5" width="12.50390625" style="0" bestFit="1" customWidth="1"/>
    <col min="6" max="6" width="13.50390625" style="0" bestFit="1" customWidth="1"/>
  </cols>
  <sheetData>
    <row r="1" spans="1:7" ht="14.25">
      <c r="A1" s="41" t="s">
        <v>332</v>
      </c>
      <c r="F1" s="64"/>
      <c r="G1" s="64"/>
    </row>
    <row r="2" spans="2:7" ht="12.75">
      <c r="B2" s="4">
        <v>2001</v>
      </c>
      <c r="C2" s="4">
        <v>2002</v>
      </c>
      <c r="D2" s="4">
        <v>2003</v>
      </c>
      <c r="F2" s="4"/>
      <c r="G2" s="4"/>
    </row>
    <row r="3" spans="1:6" ht="12.75">
      <c r="A3" t="s">
        <v>238</v>
      </c>
      <c r="B3" s="63">
        <v>256</v>
      </c>
      <c r="C3" s="63">
        <v>326</v>
      </c>
      <c r="D3" s="63">
        <v>422</v>
      </c>
      <c r="E3" s="63"/>
      <c r="F3" s="63"/>
    </row>
    <row r="4" spans="1:7" ht="12.75">
      <c r="A4" t="s">
        <v>313</v>
      </c>
      <c r="B4" s="63">
        <v>78</v>
      </c>
      <c r="C4" s="63">
        <v>104</v>
      </c>
      <c r="D4" s="63">
        <v>143</v>
      </c>
      <c r="E4" s="47"/>
      <c r="F4" s="63"/>
      <c r="G4" s="63"/>
    </row>
    <row r="5" spans="1:7" ht="12.75">
      <c r="A5" t="s">
        <v>314</v>
      </c>
      <c r="B5" s="63">
        <v>102</v>
      </c>
      <c r="C5" s="63">
        <v>139</v>
      </c>
      <c r="D5" s="63">
        <v>190</v>
      </c>
      <c r="E5" s="63"/>
      <c r="F5" s="63"/>
      <c r="G5" s="63"/>
    </row>
    <row r="6" spans="1:6" ht="12.75">
      <c r="A6" t="s">
        <v>201</v>
      </c>
      <c r="B6" s="63">
        <v>41</v>
      </c>
      <c r="C6" s="63">
        <v>52</v>
      </c>
      <c r="D6" s="63">
        <v>59</v>
      </c>
      <c r="E6" s="63"/>
      <c r="F6" s="63"/>
    </row>
    <row r="7" spans="1:6" ht="12.75">
      <c r="A7" t="s">
        <v>266</v>
      </c>
      <c r="B7" s="63">
        <v>23</v>
      </c>
      <c r="C7" s="63">
        <v>27</v>
      </c>
      <c r="D7" s="63">
        <v>30</v>
      </c>
      <c r="E7" s="63"/>
      <c r="F7" s="63"/>
    </row>
    <row r="8" spans="1:6" ht="12.75">
      <c r="A8" t="s">
        <v>315</v>
      </c>
      <c r="B8" s="63">
        <v>119</v>
      </c>
      <c r="C8" s="63">
        <v>129</v>
      </c>
      <c r="D8" s="63">
        <v>152</v>
      </c>
      <c r="E8" s="63"/>
      <c r="F8" s="63"/>
    </row>
    <row r="9" spans="1:6" ht="12.75">
      <c r="A9" t="s">
        <v>316</v>
      </c>
      <c r="B9" s="63">
        <v>42</v>
      </c>
      <c r="C9" s="63">
        <v>125</v>
      </c>
      <c r="D9" s="63">
        <v>150</v>
      </c>
      <c r="E9" s="63"/>
      <c r="F9" s="63"/>
    </row>
    <row r="11" ht="12.75">
      <c r="A11" s="31" t="s">
        <v>520</v>
      </c>
    </row>
    <row r="12" ht="12.75">
      <c r="A12" s="31"/>
    </row>
    <row r="13" spans="1:4" ht="12.75">
      <c r="A13" s="66" t="s">
        <v>317</v>
      </c>
      <c r="C13" s="47">
        <f>C3/B3-1</f>
        <v>0.2734375</v>
      </c>
      <c r="D13" s="47">
        <f>D3/C3-1</f>
        <v>0.29447852760736204</v>
      </c>
    </row>
    <row r="14" spans="1:4" ht="12.75">
      <c r="A14" s="66" t="s">
        <v>318</v>
      </c>
      <c r="B14" s="47">
        <f>B6/B3</f>
        <v>0.16015625</v>
      </c>
      <c r="C14" s="47">
        <f>C6/C3</f>
        <v>0.15950920245398773</v>
      </c>
      <c r="D14" s="47">
        <f>D6/D3</f>
        <v>0.13981042654028436</v>
      </c>
    </row>
    <row r="15" spans="1:4" ht="12.75">
      <c r="A15" s="66" t="s">
        <v>319</v>
      </c>
      <c r="B15" s="47">
        <f>B7/B3</f>
        <v>0.08984375</v>
      </c>
      <c r="C15" s="47">
        <f>C7/C3</f>
        <v>0.08282208588957055</v>
      </c>
      <c r="D15" s="47">
        <f>D7/D3</f>
        <v>0.07109004739336493</v>
      </c>
    </row>
    <row r="16" spans="1:4" ht="12.75">
      <c r="A16" s="66" t="s">
        <v>322</v>
      </c>
      <c r="B16" s="47">
        <f>B6*0.6/(B8+B9)</f>
        <v>0.15279503105590062</v>
      </c>
      <c r="C16" s="47">
        <f>C6*0.6/(C8+C9)</f>
        <v>0.12283464566929134</v>
      </c>
      <c r="D16" s="47">
        <f>D6*0.6/(D8+D9)</f>
        <v>0.1172185430463576</v>
      </c>
    </row>
    <row r="17" spans="1:4" ht="12.75">
      <c r="A17" t="s">
        <v>320</v>
      </c>
      <c r="B17" s="25">
        <f>B8/B9</f>
        <v>2.8333333333333335</v>
      </c>
      <c r="C17" s="25">
        <f>C8/C9</f>
        <v>1.032</v>
      </c>
      <c r="D17" s="25">
        <f>D8/D9</f>
        <v>1.0133333333333334</v>
      </c>
    </row>
    <row r="18" spans="1:4" ht="12.75">
      <c r="A18" t="s">
        <v>323</v>
      </c>
      <c r="B18" s="25">
        <f>B7/B8</f>
        <v>0.19327731092436976</v>
      </c>
      <c r="C18" s="25">
        <f>C7/C8</f>
        <v>0.20930232558139536</v>
      </c>
      <c r="D18" s="25">
        <f>D7/D8</f>
        <v>0.19736842105263158</v>
      </c>
    </row>
    <row r="19" spans="2:4" ht="12.75">
      <c r="B19" s="47"/>
      <c r="C19" s="47"/>
      <c r="D19" s="47"/>
    </row>
    <row r="20" spans="2:4" ht="12.75">
      <c r="B20" s="47"/>
      <c r="C20" s="47"/>
      <c r="D20" s="47"/>
    </row>
    <row r="21" spans="1:4" ht="12.75">
      <c r="A21" s="31" t="s">
        <v>321</v>
      </c>
      <c r="B21" s="47"/>
      <c r="C21" s="47"/>
      <c r="D21" s="47"/>
    </row>
    <row r="22" spans="1:4" ht="12.75">
      <c r="A22" s="1"/>
      <c r="B22" s="47"/>
      <c r="C22" s="47"/>
      <c r="D22" s="47"/>
    </row>
    <row r="23" spans="1:4" ht="12.75">
      <c r="A23" t="s">
        <v>324</v>
      </c>
      <c r="B23" s="63">
        <f>B4+B5</f>
        <v>180</v>
      </c>
      <c r="C23" s="63">
        <f>C4+C5</f>
        <v>243</v>
      </c>
      <c r="D23" s="63">
        <f>D4+D5</f>
        <v>333</v>
      </c>
    </row>
    <row r="24" spans="1:4" ht="12.75">
      <c r="A24" t="s">
        <v>325</v>
      </c>
      <c r="B24" s="47">
        <f>B23/(B3-B6)</f>
        <v>0.8372093023255814</v>
      </c>
      <c r="C24" s="47">
        <f>C23/(C3-C6)</f>
        <v>0.8868613138686131</v>
      </c>
      <c r="D24" s="47">
        <f>D23/(D3-D6)</f>
        <v>0.9173553719008265</v>
      </c>
    </row>
    <row r="25" spans="1:4" ht="12.75">
      <c r="A25" t="s">
        <v>326</v>
      </c>
      <c r="B25" s="47">
        <f>B23/B3</f>
        <v>0.703125</v>
      </c>
      <c r="C25" s="47">
        <f>C23/C3</f>
        <v>0.745398773006135</v>
      </c>
      <c r="D25" s="47">
        <f>D23/D3</f>
        <v>0.7890995260663507</v>
      </c>
    </row>
    <row r="26" spans="2:4" ht="12.75">
      <c r="B26" s="47"/>
      <c r="C26" s="47"/>
      <c r="D26" s="47"/>
    </row>
    <row r="27" spans="2:4" ht="12.75">
      <c r="B27" s="47"/>
      <c r="C27" s="47"/>
      <c r="D27" s="47"/>
    </row>
    <row r="28" spans="1:8" ht="12.75">
      <c r="A28" s="31" t="s">
        <v>327</v>
      </c>
      <c r="F28" s="64"/>
      <c r="G28" s="64"/>
      <c r="H28" s="64"/>
    </row>
    <row r="29" spans="1:8" ht="12.75">
      <c r="A29" s="31"/>
      <c r="F29" s="64"/>
      <c r="G29" s="64"/>
      <c r="H29" s="64"/>
    </row>
    <row r="30" spans="1:8" ht="12.75">
      <c r="A30" s="66" t="s">
        <v>328</v>
      </c>
      <c r="F30" s="64"/>
      <c r="G30" s="64"/>
      <c r="H30" s="64"/>
    </row>
    <row r="31" spans="1:8" ht="12.75">
      <c r="A31" s="66"/>
      <c r="F31" s="64"/>
      <c r="G31" s="64"/>
      <c r="H31" s="64"/>
    </row>
    <row r="32" spans="1:8" ht="12.75">
      <c r="A32" s="66" t="s">
        <v>329</v>
      </c>
      <c r="B32" s="47">
        <v>0.4</v>
      </c>
      <c r="F32" s="64"/>
      <c r="G32" s="64"/>
      <c r="H32" s="64"/>
    </row>
    <row r="33" spans="1:8" ht="12.75">
      <c r="A33" s="66" t="s">
        <v>330</v>
      </c>
      <c r="B33" s="47">
        <v>0.11</v>
      </c>
      <c r="F33" s="64"/>
      <c r="G33" s="64"/>
      <c r="H33" s="64"/>
    </row>
    <row r="34" spans="1:8" ht="12.75">
      <c r="A34" s="1"/>
      <c r="F34" s="64"/>
      <c r="G34" s="64"/>
      <c r="H34" s="64"/>
    </row>
    <row r="35" spans="2:4" ht="12.75">
      <c r="B35" s="4">
        <v>1999</v>
      </c>
      <c r="C35" s="4">
        <v>2000</v>
      </c>
      <c r="D35" s="4" t="s">
        <v>331</v>
      </c>
    </row>
    <row r="36" spans="1:5" ht="12.75">
      <c r="A36" t="s">
        <v>238</v>
      </c>
      <c r="B36" s="63">
        <f>D3</f>
        <v>422</v>
      </c>
      <c r="C36" s="63">
        <f>B36</f>
        <v>422</v>
      </c>
      <c r="D36" s="47"/>
      <c r="E36" s="63"/>
    </row>
    <row r="37" spans="1:5" ht="12.75">
      <c r="A37" t="s">
        <v>313</v>
      </c>
      <c r="B37" s="63">
        <f>+D4</f>
        <v>143</v>
      </c>
      <c r="C37" s="63">
        <f>B37*(1+B32)</f>
        <v>200.2</v>
      </c>
      <c r="D37" s="47">
        <f>C37/B37-1</f>
        <v>0.3999999999999999</v>
      </c>
      <c r="E37" s="63"/>
    </row>
    <row r="38" spans="1:5" ht="12.75">
      <c r="A38" t="s">
        <v>314</v>
      </c>
      <c r="B38" s="63">
        <f>D5</f>
        <v>190</v>
      </c>
      <c r="C38" s="63">
        <f>B38*(1+B33)</f>
        <v>210.9</v>
      </c>
      <c r="D38" s="47">
        <f>C38/B38-1</f>
        <v>0.1100000000000001</v>
      </c>
      <c r="E38" s="63"/>
    </row>
    <row r="39" spans="1:5" ht="12.75">
      <c r="A39" t="s">
        <v>201</v>
      </c>
      <c r="B39" s="63">
        <f>D6</f>
        <v>59</v>
      </c>
      <c r="C39" s="63">
        <f>C36-C37-C38-(B36-SUM(B37:B39))</f>
        <v>-19.099999999999994</v>
      </c>
      <c r="D39" s="47">
        <f>C39/B39-1</f>
        <v>-1.323728813559322</v>
      </c>
      <c r="E39" s="63"/>
    </row>
    <row r="40" spans="1:5" ht="12.75">
      <c r="A40" t="s">
        <v>266</v>
      </c>
      <c r="B40" s="63">
        <f>B39-(D6-D7)</f>
        <v>30</v>
      </c>
      <c r="C40" s="63">
        <f>C39-(B39-B40)</f>
        <v>-48.099999999999994</v>
      </c>
      <c r="D40" s="47">
        <f>C40/B40-1</f>
        <v>-2.603333333333333</v>
      </c>
      <c r="E40" s="63"/>
    </row>
    <row r="43" spans="1:3" ht="12.75">
      <c r="A43" s="66" t="s">
        <v>318</v>
      </c>
      <c r="B43" s="47">
        <f>+B39/B36</f>
        <v>0.13981042654028436</v>
      </c>
      <c r="C43" s="47">
        <f>+C39/C36</f>
        <v>-0.04526066350710899</v>
      </c>
    </row>
    <row r="44" spans="1:3" ht="12.75">
      <c r="A44" s="66" t="s">
        <v>319</v>
      </c>
      <c r="B44" s="47">
        <f>+B40/B36</f>
        <v>0.07109004739336493</v>
      </c>
      <c r="C44" s="47">
        <f>+C40/C36</f>
        <v>-0.11398104265402842</v>
      </c>
    </row>
    <row r="45" spans="1:3" ht="12.75">
      <c r="A45" s="66" t="s">
        <v>322</v>
      </c>
      <c r="B45" s="47">
        <f>+B39*0.6/(B8+B9)</f>
        <v>0.21987577639751552</v>
      </c>
      <c r="C45" s="47">
        <f>+C39*0.6/(C8+C9)</f>
        <v>-0.045118110236220456</v>
      </c>
    </row>
    <row r="46" spans="1:3" ht="12.75">
      <c r="A46" t="s">
        <v>323</v>
      </c>
      <c r="B46" s="47">
        <f>B40/B8</f>
        <v>0.25210084033613445</v>
      </c>
      <c r="C46" s="47">
        <f>C40/C8</f>
        <v>-0.37286821705426354</v>
      </c>
    </row>
    <row r="49" ht="12.75">
      <c r="A49" s="1"/>
    </row>
    <row r="51" spans="1:7" ht="12.75">
      <c r="A51" s="55"/>
      <c r="B51" s="55"/>
      <c r="C51" s="55"/>
      <c r="D51" s="55"/>
      <c r="E51" s="55"/>
      <c r="F51" s="55"/>
      <c r="G51" s="55"/>
    </row>
    <row r="52" spans="1:7" ht="12.75">
      <c r="A52" s="55"/>
      <c r="B52" s="334"/>
      <c r="C52" s="334"/>
      <c r="D52" s="334"/>
      <c r="E52" s="334"/>
      <c r="F52" s="334"/>
      <c r="G52" s="55"/>
    </row>
    <row r="53" spans="1:7" ht="12.75">
      <c r="A53" s="55"/>
      <c r="B53" s="55"/>
      <c r="C53" s="55"/>
      <c r="D53" s="55"/>
      <c r="E53" s="55"/>
      <c r="F53" s="55"/>
      <c r="G53" s="55"/>
    </row>
    <row r="54" spans="1:7" ht="12.75">
      <c r="A54" s="335"/>
      <c r="B54" s="336"/>
      <c r="C54" s="336"/>
      <c r="D54" s="336"/>
      <c r="E54" s="336"/>
      <c r="F54" s="336"/>
      <c r="G54" s="55"/>
    </row>
    <row r="55" spans="1:7" ht="12.75">
      <c r="A55" s="335"/>
      <c r="B55" s="336"/>
      <c r="C55" s="336"/>
      <c r="D55" s="336"/>
      <c r="E55" s="336"/>
      <c r="F55" s="336"/>
      <c r="G55" s="55"/>
    </row>
    <row r="56" spans="1:7" ht="12.75">
      <c r="A56" s="55"/>
      <c r="B56" s="336"/>
      <c r="C56" s="336"/>
      <c r="D56" s="336"/>
      <c r="E56" s="336"/>
      <c r="F56" s="336"/>
      <c r="G56" s="55"/>
    </row>
    <row r="57" spans="1:7" ht="12.75">
      <c r="A57" s="55"/>
      <c r="B57" s="55"/>
      <c r="C57" s="55"/>
      <c r="D57" s="55"/>
      <c r="E57" s="55"/>
      <c r="F57" s="55"/>
      <c r="G57" s="55"/>
    </row>
    <row r="58" spans="1:7" ht="12.75">
      <c r="A58" s="335"/>
      <c r="B58" s="55"/>
      <c r="C58" s="55"/>
      <c r="D58" s="55"/>
      <c r="E58" s="55"/>
      <c r="F58" s="170"/>
      <c r="G58" s="55"/>
    </row>
    <row r="59" spans="1:7" ht="12.75">
      <c r="A59" s="335"/>
      <c r="B59" s="55"/>
      <c r="C59" s="55"/>
      <c r="D59" s="55"/>
      <c r="E59" s="55"/>
      <c r="F59" s="55"/>
      <c r="G59" s="55"/>
    </row>
    <row r="60" spans="1:7" ht="12.75">
      <c r="A60" s="55"/>
      <c r="B60" s="55"/>
      <c r="C60" s="55"/>
      <c r="D60" s="55"/>
      <c r="E60" s="55"/>
      <c r="F60" s="55"/>
      <c r="G60" s="55"/>
    </row>
    <row r="61" spans="5:6" ht="12.75">
      <c r="E61" s="6"/>
      <c r="F61" s="6"/>
    </row>
    <row r="62" spans="2:6" ht="12.75">
      <c r="B62" s="165"/>
      <c r="C62" s="165"/>
      <c r="D62" s="165"/>
      <c r="E62" s="165"/>
      <c r="F62" s="165"/>
    </row>
    <row r="63" spans="1:6" ht="12.75">
      <c r="A63" s="3"/>
      <c r="B63" s="165"/>
      <c r="C63" s="165"/>
      <c r="D63" s="165"/>
      <c r="E63" s="165"/>
      <c r="F63" s="165"/>
    </row>
    <row r="64" spans="2:6" ht="12.75">
      <c r="B64" s="165"/>
      <c r="C64" s="165"/>
      <c r="D64" s="165"/>
      <c r="E64" s="165"/>
      <c r="F64" s="165"/>
    </row>
    <row r="69" ht="12.75">
      <c r="A69" s="31"/>
    </row>
    <row r="70" ht="12.75">
      <c r="A70" s="31"/>
    </row>
    <row r="137" ht="12.75">
      <c r="A137" t="s">
        <v>12</v>
      </c>
    </row>
  </sheetData>
  <printOptions/>
  <pageMargins left="0.7874015748031497" right="0.7874015748031497" top="0.984251968503937" bottom="0.984251968503937" header="0.5118110236220472" footer="0.5118110236220472"/>
  <pageSetup fitToHeight="2" fitToWidth="1" horizontalDpi="200" verticalDpi="200" orientation="landscape" paperSize="9" r:id="rId1"/>
  <headerFooter alignWithMargins="0">
    <oddFooter>&amp;L&amp;"Verdana,Italique"&amp;9&amp;F - &amp;A&amp;C&amp;P / &amp;N&amp;R&amp;"Verdana,Italique"&amp;9&amp;D - &amp;T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showGridLines="0" zoomScale="75" zoomScaleNormal="75" workbookViewId="0" topLeftCell="A1">
      <selection activeCell="A1" sqref="A1"/>
    </sheetView>
  </sheetViews>
  <sheetFormatPr defaultColWidth="11.00390625" defaultRowHeight="12.75"/>
  <cols>
    <col min="1" max="1" width="28.00390625" style="0" bestFit="1" customWidth="1"/>
    <col min="2" max="2" width="23.00390625" style="0" customWidth="1"/>
    <col min="3" max="3" width="22.875" style="0" customWidth="1"/>
    <col min="4" max="4" width="21.25390625" style="0" customWidth="1"/>
    <col min="5" max="5" width="24.125" style="0" customWidth="1"/>
    <col min="6" max="6" width="22.125" style="0" customWidth="1"/>
    <col min="7" max="7" width="19.625" style="0" customWidth="1"/>
  </cols>
  <sheetData>
    <row r="1" ht="14.25">
      <c r="A1" s="41" t="s">
        <v>334</v>
      </c>
    </row>
    <row r="2" ht="14.25">
      <c r="A2" s="20"/>
    </row>
    <row r="3" ht="14.25">
      <c r="A3" s="41" t="s">
        <v>14</v>
      </c>
    </row>
    <row r="4" spans="1:6" ht="12.75">
      <c r="A4" s="53" t="s">
        <v>351</v>
      </c>
      <c r="B4" s="53">
        <v>1</v>
      </c>
      <c r="C4" s="53">
        <f>B4+1</f>
        <v>2</v>
      </c>
      <c r="D4" s="53">
        <f>C4+1</f>
        <v>3</v>
      </c>
      <c r="E4" s="53">
        <f>D4+1</f>
        <v>4</v>
      </c>
      <c r="F4" s="53">
        <f>E4+1</f>
        <v>5</v>
      </c>
    </row>
    <row r="5" spans="1:6" ht="12.75">
      <c r="A5" t="s">
        <v>238</v>
      </c>
      <c r="B5" s="255">
        <v>100</v>
      </c>
      <c r="C5" s="255">
        <v>100</v>
      </c>
      <c r="D5" s="255">
        <v>100</v>
      </c>
      <c r="E5" s="255">
        <v>100</v>
      </c>
      <c r="F5" s="255">
        <v>100</v>
      </c>
    </row>
    <row r="6" spans="1:6" ht="12.75">
      <c r="A6" t="s">
        <v>1096</v>
      </c>
      <c r="B6" s="255">
        <v>100</v>
      </c>
      <c r="C6" s="255">
        <v>100</v>
      </c>
      <c r="D6" s="255">
        <v>104</v>
      </c>
      <c r="E6" s="255">
        <v>99</v>
      </c>
      <c r="F6" s="255">
        <v>0</v>
      </c>
    </row>
    <row r="7" spans="1:6" ht="12.75">
      <c r="A7" t="s">
        <v>335</v>
      </c>
      <c r="B7" s="255">
        <v>23</v>
      </c>
      <c r="C7" s="255">
        <v>24.8</v>
      </c>
      <c r="D7" s="255">
        <v>0</v>
      </c>
      <c r="E7" s="255">
        <v>0</v>
      </c>
      <c r="F7" s="255">
        <v>0</v>
      </c>
    </row>
    <row r="8" spans="1:6" ht="12.75">
      <c r="A8" s="55" t="s">
        <v>313</v>
      </c>
      <c r="B8" s="259">
        <v>0</v>
      </c>
      <c r="C8" s="259">
        <v>0</v>
      </c>
      <c r="D8" s="385">
        <v>46.6</v>
      </c>
      <c r="E8" s="257">
        <v>23.6</v>
      </c>
      <c r="F8" s="259">
        <v>0</v>
      </c>
    </row>
    <row r="9" spans="1:6" ht="12.75">
      <c r="A9" s="55" t="s">
        <v>336</v>
      </c>
      <c r="B9" s="259">
        <v>7.8</v>
      </c>
      <c r="C9" s="259">
        <v>7</v>
      </c>
      <c r="D9" s="385"/>
      <c r="E9" s="257">
        <v>46.9</v>
      </c>
      <c r="F9" s="259">
        <v>14.1</v>
      </c>
    </row>
    <row r="10" spans="1:6" ht="12.75">
      <c r="A10" s="55" t="s">
        <v>337</v>
      </c>
      <c r="B10" s="259">
        <v>9.3</v>
      </c>
      <c r="C10" s="259">
        <v>11.7</v>
      </c>
      <c r="D10" s="259">
        <v>21.5</v>
      </c>
      <c r="E10" s="257">
        <v>24.1</v>
      </c>
      <c r="F10" s="259">
        <v>88.2</v>
      </c>
    </row>
    <row r="11" spans="1:6" ht="12.75">
      <c r="A11" s="55" t="s">
        <v>183</v>
      </c>
      <c r="B11" s="259">
        <v>6.8</v>
      </c>
      <c r="C11" s="259">
        <v>6.7</v>
      </c>
      <c r="D11" s="259">
        <v>28.1</v>
      </c>
      <c r="E11" s="257">
        <v>3.7</v>
      </c>
      <c r="F11" s="259">
        <v>4.6</v>
      </c>
    </row>
    <row r="12" spans="1:6" ht="12.75">
      <c r="A12" s="55" t="s">
        <v>184</v>
      </c>
      <c r="B12" s="259">
        <v>2.6</v>
      </c>
      <c r="C12" s="259">
        <v>0.9</v>
      </c>
      <c r="D12" s="259">
        <v>14.4</v>
      </c>
      <c r="E12" s="257">
        <v>1.2</v>
      </c>
      <c r="F12" s="259">
        <v>0.7</v>
      </c>
    </row>
    <row r="13" spans="1:6" ht="12.75">
      <c r="A13" s="55" t="s">
        <v>201</v>
      </c>
      <c r="B13" s="259">
        <f>B11-B12</f>
        <v>4.199999999999999</v>
      </c>
      <c r="C13" s="259">
        <v>5.8</v>
      </c>
      <c r="D13" s="259">
        <v>7.1</v>
      </c>
      <c r="E13" s="259">
        <v>2.9</v>
      </c>
      <c r="F13" s="259">
        <v>3.1</v>
      </c>
    </row>
    <row r="14" spans="1:6" ht="12.75">
      <c r="A14" s="1"/>
      <c r="B14" s="258"/>
      <c r="C14" s="258"/>
      <c r="D14" s="258"/>
      <c r="E14" s="258"/>
      <c r="F14" s="258"/>
    </row>
    <row r="15" ht="14.25">
      <c r="A15" s="20"/>
    </row>
    <row r="16" spans="1:6" ht="14.25">
      <c r="A16" s="260" t="s">
        <v>338</v>
      </c>
      <c r="B16" s="261" t="s">
        <v>342</v>
      </c>
      <c r="C16" s="261" t="s">
        <v>343</v>
      </c>
      <c r="D16" s="261" t="s">
        <v>341</v>
      </c>
      <c r="E16" s="261" t="s">
        <v>344</v>
      </c>
      <c r="F16" s="261" t="s">
        <v>345</v>
      </c>
    </row>
    <row r="17" spans="1:6" ht="14.25">
      <c r="A17" s="370" t="s">
        <v>484</v>
      </c>
      <c r="B17" s="106" t="s">
        <v>346</v>
      </c>
      <c r="C17" s="106" t="s">
        <v>347</v>
      </c>
      <c r="D17" s="106" t="s">
        <v>348</v>
      </c>
      <c r="E17" s="106" t="s">
        <v>349</v>
      </c>
      <c r="F17" s="106" t="s">
        <v>350</v>
      </c>
    </row>
    <row r="18" ht="14.25">
      <c r="A18" s="20"/>
    </row>
    <row r="19" ht="14.25">
      <c r="A19" s="41" t="s">
        <v>13</v>
      </c>
    </row>
    <row r="20" ht="14.25">
      <c r="A20" s="20"/>
    </row>
    <row r="21" spans="1:6" ht="12.75">
      <c r="A21" s="53" t="s">
        <v>351</v>
      </c>
      <c r="B21" s="53">
        <v>1</v>
      </c>
      <c r="C21" s="53">
        <f>B21+1</f>
        <v>2</v>
      </c>
      <c r="D21" s="53">
        <f>C21+1</f>
        <v>3</v>
      </c>
      <c r="E21" s="53">
        <f>D21+1</f>
        <v>4</v>
      </c>
      <c r="F21" s="53">
        <f>E21+1</f>
        <v>5</v>
      </c>
    </row>
    <row r="22" spans="1:6" ht="12.75">
      <c r="A22" t="s">
        <v>238</v>
      </c>
      <c r="B22" s="255">
        <v>100</v>
      </c>
      <c r="C22" s="255">
        <v>100</v>
      </c>
      <c r="D22" s="255">
        <v>100</v>
      </c>
      <c r="E22" s="255">
        <v>100</v>
      </c>
      <c r="F22" s="255">
        <v>100</v>
      </c>
    </row>
    <row r="23" spans="1:6" ht="12.75">
      <c r="A23" t="s">
        <v>188</v>
      </c>
      <c r="B23" s="106">
        <v>35.9</v>
      </c>
      <c r="C23" s="106">
        <v>84</v>
      </c>
      <c r="D23" s="106">
        <v>67.7</v>
      </c>
      <c r="E23" s="255">
        <v>44.3</v>
      </c>
      <c r="F23" s="106">
        <v>52.2</v>
      </c>
    </row>
    <row r="24" spans="1:6" ht="12.75">
      <c r="A24" s="55" t="s">
        <v>339</v>
      </c>
      <c r="B24" s="329">
        <v>37</v>
      </c>
      <c r="C24" s="329">
        <v>4.4</v>
      </c>
      <c r="D24" s="259">
        <v>14</v>
      </c>
      <c r="E24" s="257">
        <v>23.1</v>
      </c>
      <c r="F24" s="329">
        <v>21.8</v>
      </c>
    </row>
    <row r="25" spans="1:6" ht="12.75">
      <c r="A25" s="55" t="s">
        <v>340</v>
      </c>
      <c r="B25" s="329">
        <v>11.1</v>
      </c>
      <c r="C25" s="329">
        <v>10</v>
      </c>
      <c r="D25" s="259">
        <v>6.6</v>
      </c>
      <c r="E25" s="257">
        <v>10.7</v>
      </c>
      <c r="F25" s="329">
        <v>9.3</v>
      </c>
    </row>
    <row r="26" spans="1:6" ht="12.75">
      <c r="A26" s="325" t="s">
        <v>352</v>
      </c>
      <c r="B26" s="329">
        <v>0</v>
      </c>
      <c r="C26" s="329">
        <v>0</v>
      </c>
      <c r="D26" s="259">
        <v>20.1</v>
      </c>
      <c r="E26" s="257">
        <v>6.6</v>
      </c>
      <c r="F26" s="329">
        <v>2.1</v>
      </c>
    </row>
    <row r="27" spans="1:6" ht="12.75">
      <c r="A27" s="1" t="s">
        <v>201</v>
      </c>
      <c r="B27" s="258">
        <f>B22-B23-B24-B25-B26</f>
        <v>15.999999999999995</v>
      </c>
      <c r="C27" s="258">
        <f>C22-C23-C24-C25-C26</f>
        <v>1.5999999999999996</v>
      </c>
      <c r="D27" s="258">
        <f>D22-D23-D24-D25-D26</f>
        <v>-8.400000000000004</v>
      </c>
      <c r="E27" s="258">
        <f>E22-E23-E24-E25-E26</f>
        <v>15.300000000000002</v>
      </c>
      <c r="F27" s="258">
        <f>F22-F23-F24-F25-F26</f>
        <v>14.599999999999996</v>
      </c>
    </row>
    <row r="29" spans="1:6" ht="14.25">
      <c r="A29" s="260" t="s">
        <v>338</v>
      </c>
      <c r="B29" s="261" t="s">
        <v>353</v>
      </c>
      <c r="C29" s="261" t="s">
        <v>354</v>
      </c>
      <c r="D29" s="261" t="s">
        <v>355</v>
      </c>
      <c r="E29" s="261" t="s">
        <v>356</v>
      </c>
      <c r="F29" s="261" t="s">
        <v>357</v>
      </c>
    </row>
    <row r="30" spans="1:6" s="3" customFormat="1" ht="38.25">
      <c r="A30" s="370" t="s">
        <v>484</v>
      </c>
      <c r="C30" s="213" t="s">
        <v>361</v>
      </c>
      <c r="D30" s="213" t="s">
        <v>359</v>
      </c>
      <c r="E30" s="213" t="s">
        <v>358</v>
      </c>
      <c r="F30" s="213" t="s">
        <v>360</v>
      </c>
    </row>
    <row r="31" spans="1:5" ht="12.75">
      <c r="A31" s="66"/>
      <c r="B31" s="256"/>
      <c r="C31" s="256"/>
      <c r="D31" s="256"/>
      <c r="E31" s="256"/>
    </row>
  </sheetData>
  <mergeCells count="1">
    <mergeCell ref="D8:D9"/>
  </mergeCells>
  <printOptions/>
  <pageMargins left="0.7874015748031497" right="0.7874015748031497" top="0.984251968503937" bottom="0.984251968503937" header="0.5118110236220472" footer="0.5118110236220472"/>
  <pageSetup fitToHeight="3" fitToWidth="1" horizontalDpi="200" verticalDpi="200" orientation="landscape" paperSize="9" r:id="rId1"/>
  <headerFooter alignWithMargins="0">
    <oddFooter>&amp;L&amp;"Verdana,Italique"&amp;9&amp;F - &amp;A&amp;C&amp;P / &amp;N&amp;R&amp;"Verdana,Italique"&amp;9&amp;D - &amp;T</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3"/>
  <sheetViews>
    <sheetView showGridLines="0" zoomScale="75" zoomScaleNormal="75" workbookViewId="0" topLeftCell="A1">
      <selection activeCell="A1" sqref="A1"/>
    </sheetView>
  </sheetViews>
  <sheetFormatPr defaultColWidth="11.00390625" defaultRowHeight="12.75"/>
  <cols>
    <col min="1" max="1" width="37.625" style="0" customWidth="1"/>
    <col min="5" max="5" width="12.875" style="0" customWidth="1"/>
    <col min="6" max="7" width="7.50390625" style="0" customWidth="1"/>
  </cols>
  <sheetData>
    <row r="1" ht="14.25">
      <c r="A1" s="41" t="s">
        <v>370</v>
      </c>
    </row>
    <row r="2" ht="14.25">
      <c r="A2" s="20"/>
    </row>
    <row r="3" spans="1:6" ht="12.75">
      <c r="A3" s="53" t="s">
        <v>351</v>
      </c>
      <c r="B3" s="53" t="s">
        <v>523</v>
      </c>
      <c r="C3" s="53" t="s">
        <v>524</v>
      </c>
      <c r="D3" s="53" t="s">
        <v>525</v>
      </c>
      <c r="E3" s="53" t="s">
        <v>526</v>
      </c>
      <c r="F3" s="70"/>
    </row>
    <row r="4" spans="1:5" ht="12.75">
      <c r="A4" t="s">
        <v>238</v>
      </c>
      <c r="B4">
        <v>100</v>
      </c>
      <c r="C4">
        <v>100</v>
      </c>
      <c r="D4">
        <v>100</v>
      </c>
      <c r="E4">
        <v>100</v>
      </c>
    </row>
    <row r="5" spans="1:5" ht="12.75">
      <c r="A5" t="s">
        <v>362</v>
      </c>
      <c r="B5">
        <v>65</v>
      </c>
      <c r="C5">
        <v>55</v>
      </c>
      <c r="D5">
        <v>36</v>
      </c>
      <c r="E5">
        <v>30</v>
      </c>
    </row>
    <row r="6" spans="1:6" ht="12.75">
      <c r="A6" s="33" t="s">
        <v>363</v>
      </c>
      <c r="B6" s="33">
        <v>25</v>
      </c>
      <c r="C6" s="33">
        <v>29</v>
      </c>
      <c r="D6" s="33">
        <v>50</v>
      </c>
      <c r="E6" s="33">
        <v>55</v>
      </c>
      <c r="F6" s="55"/>
    </row>
    <row r="7" spans="1:6" ht="12.75">
      <c r="A7" s="1" t="s">
        <v>183</v>
      </c>
      <c r="B7" s="1">
        <f>B4-B5-B6</f>
        <v>10</v>
      </c>
      <c r="C7" s="1">
        <f>C4-C5-C6</f>
        <v>16</v>
      </c>
      <c r="D7" s="1">
        <f>D4-D5-D6</f>
        <v>14</v>
      </c>
      <c r="E7" s="1">
        <f>E4-E5-E6</f>
        <v>15</v>
      </c>
      <c r="F7" s="1"/>
    </row>
    <row r="8" spans="1:6" ht="12.75">
      <c r="A8" s="33" t="s">
        <v>184</v>
      </c>
      <c r="B8" s="33">
        <v>2</v>
      </c>
      <c r="C8" s="33">
        <v>8</v>
      </c>
      <c r="D8" s="33">
        <v>4</v>
      </c>
      <c r="E8" s="33">
        <v>6</v>
      </c>
      <c r="F8" s="55"/>
    </row>
    <row r="9" spans="1:6" ht="12.75">
      <c r="A9" s="1" t="s">
        <v>364</v>
      </c>
      <c r="B9" s="1">
        <f>B7-B8</f>
        <v>8</v>
      </c>
      <c r="C9" s="1">
        <f>C7-C8</f>
        <v>8</v>
      </c>
      <c r="D9" s="1">
        <f>D7-D8</f>
        <v>10</v>
      </c>
      <c r="E9" s="1">
        <f>E7-E8</f>
        <v>9</v>
      </c>
      <c r="F9" s="1"/>
    </row>
    <row r="10" spans="1:6" ht="12.75">
      <c r="A10" s="33" t="s">
        <v>365</v>
      </c>
      <c r="B10" s="33">
        <v>2</v>
      </c>
      <c r="C10" s="33">
        <v>6</v>
      </c>
      <c r="D10" s="33">
        <v>1.5</v>
      </c>
      <c r="E10" s="33">
        <v>6</v>
      </c>
      <c r="F10" s="55"/>
    </row>
    <row r="11" spans="1:6" ht="12.75">
      <c r="A11" s="1" t="s">
        <v>366</v>
      </c>
      <c r="B11" s="1">
        <f>B9-B10</f>
        <v>6</v>
      </c>
      <c r="C11" s="1">
        <f>C9-C10</f>
        <v>2</v>
      </c>
      <c r="D11" s="1">
        <f>D9-D10</f>
        <v>8.5</v>
      </c>
      <c r="E11" s="1">
        <f>E9-E10</f>
        <v>3</v>
      </c>
      <c r="F11" s="1"/>
    </row>
    <row r="13" spans="1:6" ht="12.75">
      <c r="A13" s="66" t="s">
        <v>367</v>
      </c>
      <c r="B13" s="63">
        <f>(B6+B8)/(1-B5/B4)</f>
        <v>77.14285714285715</v>
      </c>
      <c r="C13" s="63">
        <f>(C6+C8)/(1-C5/C4)</f>
        <v>82.22222222222223</v>
      </c>
      <c r="D13" s="63">
        <f>(D6+D8)/(1-D5/D4)</f>
        <v>84.375</v>
      </c>
      <c r="E13" s="63">
        <f>(E6+E8)/(1-E5/E4)</f>
        <v>87.14285714285715</v>
      </c>
      <c r="F13" s="63"/>
    </row>
    <row r="14" spans="1:6" ht="12.75">
      <c r="A14" s="66" t="s">
        <v>369</v>
      </c>
      <c r="B14" s="67">
        <f>B$4/B13</f>
        <v>1.296296296296296</v>
      </c>
      <c r="C14" s="67">
        <f>C$4/C13</f>
        <v>1.2162162162162162</v>
      </c>
      <c r="D14" s="67">
        <f>D$4/D13</f>
        <v>1.1851851851851851</v>
      </c>
      <c r="E14" s="67">
        <f>E$4/E13</f>
        <v>1.1475409836065573</v>
      </c>
      <c r="F14" s="67"/>
    </row>
    <row r="15" ht="12.75">
      <c r="A15" s="66"/>
    </row>
    <row r="16" spans="1:6" ht="12.75">
      <c r="A16" s="66" t="s">
        <v>368</v>
      </c>
      <c r="B16" s="63">
        <f>(B6+B8+B10)/(1-B5/B4)</f>
        <v>82.85714285714286</v>
      </c>
      <c r="C16" s="63">
        <f>(C6+C8+C10)/(1-C5/C4)</f>
        <v>95.55555555555557</v>
      </c>
      <c r="D16" s="63">
        <f>(D6+D8+D10)/(1-D5/D4)</f>
        <v>86.71875</v>
      </c>
      <c r="E16" s="63">
        <f>(E6+E8+E10)/(1-E5/E4)</f>
        <v>95.71428571428572</v>
      </c>
      <c r="F16" s="63"/>
    </row>
    <row r="17" spans="1:6" ht="12.75">
      <c r="A17" s="66" t="s">
        <v>369</v>
      </c>
      <c r="B17" s="67">
        <f>B$4/B16</f>
        <v>1.206896551724138</v>
      </c>
      <c r="C17" s="67">
        <f>C$4/C16</f>
        <v>1.0465116279069766</v>
      </c>
      <c r="D17" s="67">
        <f>D$4/D16</f>
        <v>1.1531531531531531</v>
      </c>
      <c r="E17" s="67">
        <f>E$4/E16</f>
        <v>1.044776119402985</v>
      </c>
      <c r="F17" s="67"/>
    </row>
    <row r="19" ht="14.25">
      <c r="A19" s="41" t="s">
        <v>371</v>
      </c>
    </row>
    <row r="20" ht="14.25">
      <c r="A20" s="41"/>
    </row>
    <row r="21" spans="1:5" ht="12.75">
      <c r="A21" s="4" t="s">
        <v>28</v>
      </c>
      <c r="B21" s="4">
        <v>1</v>
      </c>
      <c r="C21" s="4">
        <v>2</v>
      </c>
      <c r="D21" s="4">
        <v>3</v>
      </c>
      <c r="E21" s="238"/>
    </row>
    <row r="22" spans="1:8" ht="12.75">
      <c r="A22" t="s">
        <v>238</v>
      </c>
      <c r="B22" s="63">
        <v>82000</v>
      </c>
      <c r="C22" s="63">
        <v>92000</v>
      </c>
      <c r="D22" s="63">
        <v>97000</v>
      </c>
      <c r="E22" s="25"/>
      <c r="F22" s="25"/>
      <c r="H22" s="63"/>
    </row>
    <row r="23" spans="1:8" ht="12.75">
      <c r="A23" t="s">
        <v>182</v>
      </c>
      <c r="B23" s="63">
        <v>500</v>
      </c>
      <c r="C23" s="63">
        <v>1400</v>
      </c>
      <c r="D23" s="63">
        <v>2800</v>
      </c>
      <c r="E23" s="25"/>
      <c r="F23" s="25"/>
      <c r="H23" s="63"/>
    </row>
    <row r="24" spans="1:8" ht="12.75">
      <c r="A24" s="1" t="s">
        <v>372</v>
      </c>
      <c r="B24" s="63">
        <f>SUM(B22:B23)</f>
        <v>82500</v>
      </c>
      <c r="C24" s="63">
        <f>SUM(C22:C23)</f>
        <v>93400</v>
      </c>
      <c r="D24" s="63">
        <f>SUM(D22:D23)</f>
        <v>99800</v>
      </c>
      <c r="H24" s="63"/>
    </row>
    <row r="25" spans="1:8" ht="12.75">
      <c r="A25" t="s">
        <v>373</v>
      </c>
      <c r="B25" s="63">
        <v>24800</v>
      </c>
      <c r="C25" s="63">
        <v>27400</v>
      </c>
      <c r="D25" s="63">
        <v>29900</v>
      </c>
      <c r="E25" s="25"/>
      <c r="F25" s="25"/>
      <c r="H25" s="63"/>
    </row>
    <row r="26" spans="1:8" ht="12.75">
      <c r="A26" t="s">
        <v>374</v>
      </c>
      <c r="B26" s="63">
        <v>-1700</v>
      </c>
      <c r="C26" s="63">
        <v>-500</v>
      </c>
      <c r="D26" s="63">
        <v>-1600</v>
      </c>
      <c r="E26" s="25"/>
      <c r="F26" s="25"/>
      <c r="H26" s="63"/>
    </row>
    <row r="27" spans="1:8" ht="12.75">
      <c r="A27" t="s">
        <v>336</v>
      </c>
      <c r="B27" s="63">
        <v>20200</v>
      </c>
      <c r="C27" s="63">
        <v>23000</v>
      </c>
      <c r="D27" s="63">
        <v>23500</v>
      </c>
      <c r="E27" s="25"/>
      <c r="F27" s="25"/>
      <c r="H27" s="63"/>
    </row>
    <row r="28" spans="1:8" ht="12.75">
      <c r="A28" t="s">
        <v>375</v>
      </c>
      <c r="B28" s="63">
        <v>1200</v>
      </c>
      <c r="C28" s="63">
        <v>1400</v>
      </c>
      <c r="D28" s="63">
        <v>1500</v>
      </c>
      <c r="E28" s="25"/>
      <c r="F28" s="25"/>
      <c r="H28" s="63"/>
    </row>
    <row r="29" spans="1:8" ht="12.75">
      <c r="A29" t="s">
        <v>337</v>
      </c>
      <c r="B29" s="63">
        <v>29000</v>
      </c>
      <c r="C29" s="63">
        <v>33000</v>
      </c>
      <c r="D29" s="63">
        <v>37000</v>
      </c>
      <c r="E29" s="25"/>
      <c r="F29" s="25"/>
      <c r="H29" s="63"/>
    </row>
    <row r="30" spans="1:8" ht="12.75">
      <c r="A30" t="s">
        <v>184</v>
      </c>
      <c r="B30" s="63">
        <v>5200</v>
      </c>
      <c r="C30" s="63">
        <v>4900</v>
      </c>
      <c r="D30" s="63">
        <v>4800</v>
      </c>
      <c r="E30" s="25"/>
      <c r="F30" s="25"/>
      <c r="H30" s="63"/>
    </row>
    <row r="31" spans="1:8" ht="12.75">
      <c r="A31" t="s">
        <v>376</v>
      </c>
      <c r="B31" s="63">
        <v>100</v>
      </c>
      <c r="C31" s="63">
        <v>200</v>
      </c>
      <c r="D31" s="63"/>
      <c r="E31" s="25"/>
      <c r="F31" s="25"/>
      <c r="H31" s="63"/>
    </row>
    <row r="32" spans="1:4" ht="12.75">
      <c r="A32" s="1" t="s">
        <v>377</v>
      </c>
      <c r="B32" s="63">
        <f>SUM(B25:B31)</f>
        <v>78800</v>
      </c>
      <c r="C32" s="63">
        <f>SUM(C25:C31)</f>
        <v>89400</v>
      </c>
      <c r="D32" s="63">
        <f>SUM(D25:D31)</f>
        <v>95100</v>
      </c>
    </row>
    <row r="33" spans="1:4" s="338" customFormat="1" ht="24" customHeight="1">
      <c r="A33" s="339" t="s">
        <v>201</v>
      </c>
      <c r="B33" s="345">
        <f>B24-B32</f>
        <v>3700</v>
      </c>
      <c r="C33" s="345">
        <f>C24-C32</f>
        <v>4000</v>
      </c>
      <c r="D33" s="345">
        <f>D24-D32</f>
        <v>4700</v>
      </c>
    </row>
    <row r="34" spans="1:6" ht="12.75">
      <c r="A34" t="s">
        <v>378</v>
      </c>
      <c r="B34" s="63">
        <v>300</v>
      </c>
      <c r="C34" s="63">
        <v>400</v>
      </c>
      <c r="D34" s="63">
        <v>300</v>
      </c>
      <c r="F34" s="25"/>
    </row>
    <row r="35" spans="1:6" ht="12.75">
      <c r="A35" t="s">
        <v>379</v>
      </c>
      <c r="B35" s="63">
        <v>2300</v>
      </c>
      <c r="C35" s="63">
        <v>2900</v>
      </c>
      <c r="D35" s="63">
        <v>3900</v>
      </c>
      <c r="E35" s="25"/>
      <c r="F35" s="25"/>
    </row>
    <row r="36" spans="1:6" s="338" customFormat="1" ht="24" customHeight="1">
      <c r="A36" s="339" t="s">
        <v>380</v>
      </c>
      <c r="B36" s="345">
        <f>B34-B35</f>
        <v>-2000</v>
      </c>
      <c r="C36" s="345">
        <f>C34-C35</f>
        <v>-2500</v>
      </c>
      <c r="D36" s="345">
        <f>D34-D35</f>
        <v>-3600</v>
      </c>
      <c r="E36" s="346"/>
      <c r="F36" s="346"/>
    </row>
    <row r="37" spans="1:4" ht="12.75">
      <c r="A37" t="s">
        <v>381</v>
      </c>
      <c r="B37" s="63">
        <v>-100</v>
      </c>
      <c r="C37" s="63">
        <v>-100</v>
      </c>
      <c r="D37" s="63">
        <v>100</v>
      </c>
    </row>
    <row r="38" spans="1:4" ht="12.75">
      <c r="A38" t="s">
        <v>206</v>
      </c>
      <c r="B38" s="63">
        <v>800</v>
      </c>
      <c r="C38" s="63">
        <v>700</v>
      </c>
      <c r="D38" s="63">
        <v>600</v>
      </c>
    </row>
    <row r="39" spans="1:5" ht="27" customHeight="1">
      <c r="A39" s="339" t="s">
        <v>266</v>
      </c>
      <c r="B39" s="345">
        <f>B33+B36+B37-B38</f>
        <v>800</v>
      </c>
      <c r="C39" s="345">
        <f>C33+C36+C37-C38</f>
        <v>700</v>
      </c>
      <c r="D39" s="345">
        <f>D33+D36+D37-D38</f>
        <v>600</v>
      </c>
      <c r="E39" s="25"/>
    </row>
    <row r="40" spans="1:7" ht="12.75">
      <c r="A40" s="56"/>
      <c r="B40" s="239"/>
      <c r="C40" s="239"/>
      <c r="D40" s="239"/>
      <c r="E40" s="25"/>
      <c r="G40" s="242"/>
    </row>
    <row r="41" spans="1:7" ht="12.75">
      <c r="A41" s="56" t="s">
        <v>382</v>
      </c>
      <c r="B41" s="239"/>
      <c r="C41" s="239"/>
      <c r="D41" s="239"/>
      <c r="E41" s="25"/>
      <c r="F41" s="386" t="s">
        <v>384</v>
      </c>
      <c r="G41" s="386"/>
    </row>
    <row r="42" spans="1:7" ht="12.75">
      <c r="A42" s="56"/>
      <c r="B42" s="239">
        <v>1</v>
      </c>
      <c r="C42" s="239">
        <v>2</v>
      </c>
      <c r="D42" s="239">
        <v>3</v>
      </c>
      <c r="E42" s="25"/>
      <c r="F42" s="4">
        <v>2</v>
      </c>
      <c r="G42" s="4">
        <v>3</v>
      </c>
    </row>
    <row r="43" spans="1:7" s="1" customFormat="1" ht="12.75">
      <c r="A43" s="57" t="s">
        <v>238</v>
      </c>
      <c r="B43" s="69">
        <f>B22</f>
        <v>82000</v>
      </c>
      <c r="C43" s="69">
        <f>C22</f>
        <v>92000</v>
      </c>
      <c r="D43" s="69">
        <f>D22</f>
        <v>97000</v>
      </c>
      <c r="E43" s="245"/>
      <c r="F43" s="245">
        <f aca="true" t="shared" si="0" ref="F43:F56">C43/B43-1</f>
        <v>0.12195121951219523</v>
      </c>
      <c r="G43" s="245">
        <f aca="true" t="shared" si="1" ref="G43:G56">D43/C43-1</f>
        <v>0.05434782608695654</v>
      </c>
    </row>
    <row r="44" spans="1:7" ht="12.75">
      <c r="A44" t="s">
        <v>386</v>
      </c>
      <c r="B44" s="240">
        <f>B25+B26-B23</f>
        <v>22600</v>
      </c>
      <c r="C44" s="240">
        <f>C25+C26-C23</f>
        <v>25500</v>
      </c>
      <c r="D44" s="240">
        <f>D25+D26-D23</f>
        <v>25500</v>
      </c>
      <c r="E44" s="25"/>
      <c r="F44" s="25">
        <f t="shared" si="0"/>
        <v>0.12831858407079655</v>
      </c>
      <c r="G44" s="25">
        <f t="shared" si="1"/>
        <v>0</v>
      </c>
    </row>
    <row r="45" spans="1:7" ht="12.75">
      <c r="A45" s="57" t="s">
        <v>385</v>
      </c>
      <c r="B45" s="69">
        <f>B43-B44</f>
        <v>59400</v>
      </c>
      <c r="C45" s="69">
        <f>C43-C44</f>
        <v>66500</v>
      </c>
      <c r="D45" s="69">
        <f>D43-D44</f>
        <v>71500</v>
      </c>
      <c r="E45" s="245"/>
      <c r="F45" s="245">
        <f t="shared" si="0"/>
        <v>0.1195286195286196</v>
      </c>
      <c r="G45" s="245">
        <f t="shared" si="1"/>
        <v>0.07518796992481214</v>
      </c>
    </row>
    <row r="46" spans="1:7" ht="12.75">
      <c r="A46" t="s">
        <v>336</v>
      </c>
      <c r="B46" s="240">
        <f aca="true" t="shared" si="2" ref="B46:D48">B27</f>
        <v>20200</v>
      </c>
      <c r="C46" s="240">
        <f t="shared" si="2"/>
        <v>23000</v>
      </c>
      <c r="D46" s="240">
        <f t="shared" si="2"/>
        <v>23500</v>
      </c>
      <c r="E46" s="25"/>
      <c r="F46" s="25">
        <f t="shared" si="0"/>
        <v>0.13861386138613851</v>
      </c>
      <c r="G46" s="25">
        <f t="shared" si="1"/>
        <v>0.021739130434782705</v>
      </c>
    </row>
    <row r="47" spans="1:7" ht="12.75">
      <c r="A47" t="s">
        <v>375</v>
      </c>
      <c r="B47" s="240">
        <f t="shared" si="2"/>
        <v>1200</v>
      </c>
      <c r="C47" s="240">
        <f t="shared" si="2"/>
        <v>1400</v>
      </c>
      <c r="D47" s="240">
        <f t="shared" si="2"/>
        <v>1500</v>
      </c>
      <c r="E47" s="25"/>
      <c r="F47" s="25">
        <f t="shared" si="0"/>
        <v>0.16666666666666674</v>
      </c>
      <c r="G47" s="25">
        <f t="shared" si="1"/>
        <v>0.0714285714285714</v>
      </c>
    </row>
    <row r="48" spans="1:7" ht="12.75">
      <c r="A48" t="s">
        <v>337</v>
      </c>
      <c r="B48" s="240">
        <f t="shared" si="2"/>
        <v>29000</v>
      </c>
      <c r="C48" s="240">
        <f t="shared" si="2"/>
        <v>33000</v>
      </c>
      <c r="D48" s="240">
        <f t="shared" si="2"/>
        <v>37000</v>
      </c>
      <c r="E48" s="25"/>
      <c r="F48" s="25">
        <f t="shared" si="0"/>
        <v>0.13793103448275867</v>
      </c>
      <c r="G48" s="25">
        <f t="shared" si="1"/>
        <v>0.1212121212121211</v>
      </c>
    </row>
    <row r="49" spans="1:7" ht="12.75">
      <c r="A49" t="s">
        <v>376</v>
      </c>
      <c r="B49" s="240">
        <f>B31</f>
        <v>100</v>
      </c>
      <c r="C49" s="240">
        <f>C31</f>
        <v>200</v>
      </c>
      <c r="D49" s="240">
        <f>D31</f>
        <v>0</v>
      </c>
      <c r="E49" s="25"/>
      <c r="F49" s="25">
        <f t="shared" si="0"/>
        <v>1</v>
      </c>
      <c r="G49" s="25">
        <f t="shared" si="1"/>
        <v>-1</v>
      </c>
    </row>
    <row r="50" spans="1:7" ht="12.75">
      <c r="A50" s="57" t="s">
        <v>183</v>
      </c>
      <c r="B50" s="69">
        <f>B45-B46-B47-B48-B49</f>
        <v>8900</v>
      </c>
      <c r="C50" s="69">
        <f>C45-C46-C47-C48-C49</f>
        <v>8900</v>
      </c>
      <c r="D50" s="69">
        <f>D45-D46-D47-D48-D49</f>
        <v>9500</v>
      </c>
      <c r="E50" s="245"/>
      <c r="F50" s="245">
        <f t="shared" si="0"/>
        <v>0</v>
      </c>
      <c r="G50" s="245">
        <f t="shared" si="1"/>
        <v>0.0674157303370786</v>
      </c>
    </row>
    <row r="51" spans="1:7" ht="12.75">
      <c r="A51" t="s">
        <v>184</v>
      </c>
      <c r="B51" s="240">
        <f>B30</f>
        <v>5200</v>
      </c>
      <c r="C51" s="240">
        <f>C30</f>
        <v>4900</v>
      </c>
      <c r="D51" s="240">
        <f>D30</f>
        <v>4800</v>
      </c>
      <c r="E51" s="25"/>
      <c r="F51" s="25">
        <f t="shared" si="0"/>
        <v>-0.05769230769230771</v>
      </c>
      <c r="G51" s="25">
        <f t="shared" si="1"/>
        <v>-0.020408163265306145</v>
      </c>
    </row>
    <row r="52" spans="1:7" ht="12.75">
      <c r="A52" s="57" t="s">
        <v>201</v>
      </c>
      <c r="B52" s="69">
        <f>B50-B51</f>
        <v>3700</v>
      </c>
      <c r="C52" s="69">
        <f>C50-C51</f>
        <v>4000</v>
      </c>
      <c r="D52" s="69">
        <f>D50-D51</f>
        <v>4700</v>
      </c>
      <c r="E52" s="245"/>
      <c r="F52" s="245">
        <f t="shared" si="0"/>
        <v>0.08108108108108114</v>
      </c>
      <c r="G52" s="245">
        <f t="shared" si="1"/>
        <v>0.17500000000000004</v>
      </c>
    </row>
    <row r="53" spans="1:7" s="1" customFormat="1" ht="12.75">
      <c r="A53" s="90" t="s">
        <v>383</v>
      </c>
      <c r="B53" s="246">
        <f>B35-B34</f>
        <v>2000</v>
      </c>
      <c r="C53" s="246">
        <f>C35-C34</f>
        <v>2500</v>
      </c>
      <c r="D53" s="246">
        <f>D35-D34</f>
        <v>3600</v>
      </c>
      <c r="E53" s="247"/>
      <c r="F53" s="247">
        <f t="shared" si="0"/>
        <v>0.25</v>
      </c>
      <c r="G53" s="247">
        <f t="shared" si="1"/>
        <v>0.43999999999999995</v>
      </c>
    </row>
    <row r="54" spans="1:7" ht="12.75">
      <c r="A54" t="s">
        <v>381</v>
      </c>
      <c r="B54" s="240">
        <f aca="true" t="shared" si="3" ref="B54:D55">B37</f>
        <v>-100</v>
      </c>
      <c r="C54" s="240">
        <f t="shared" si="3"/>
        <v>-100</v>
      </c>
      <c r="D54" s="240">
        <f t="shared" si="3"/>
        <v>100</v>
      </c>
      <c r="E54" s="25"/>
      <c r="F54" s="25">
        <f t="shared" si="0"/>
        <v>0</v>
      </c>
      <c r="G54" s="25">
        <f t="shared" si="1"/>
        <v>-2</v>
      </c>
    </row>
    <row r="55" spans="1:7" ht="12.75">
      <c r="A55" t="s">
        <v>206</v>
      </c>
      <c r="B55" s="240">
        <f t="shared" si="3"/>
        <v>800</v>
      </c>
      <c r="C55" s="240">
        <f t="shared" si="3"/>
        <v>700</v>
      </c>
      <c r="D55" s="240">
        <f t="shared" si="3"/>
        <v>600</v>
      </c>
      <c r="E55" s="25"/>
      <c r="F55" s="25">
        <f t="shared" si="0"/>
        <v>-0.125</v>
      </c>
      <c r="G55" s="25">
        <f t="shared" si="1"/>
        <v>-0.1428571428571429</v>
      </c>
    </row>
    <row r="56" spans="1:7" ht="12.75">
      <c r="A56" s="57" t="s">
        <v>266</v>
      </c>
      <c r="B56" s="69">
        <f>B52-B53+B54-B55</f>
        <v>800</v>
      </c>
      <c r="C56" s="69">
        <f>C52-C53+C54-C55</f>
        <v>700</v>
      </c>
      <c r="D56" s="69">
        <f>D52-D53+D54-D55</f>
        <v>600</v>
      </c>
      <c r="E56" s="245"/>
      <c r="F56" s="245">
        <f t="shared" si="0"/>
        <v>-0.125</v>
      </c>
      <c r="G56" s="245">
        <f t="shared" si="1"/>
        <v>-0.1428571428571429</v>
      </c>
    </row>
    <row r="57" spans="1:5" ht="12.75">
      <c r="A57" s="56"/>
      <c r="B57" s="239"/>
      <c r="C57" s="239"/>
      <c r="D57" s="239"/>
      <c r="E57" s="25"/>
    </row>
    <row r="58" spans="1:5" ht="12.75">
      <c r="A58" s="241" t="s">
        <v>387</v>
      </c>
      <c r="B58" s="239"/>
      <c r="C58" s="239"/>
      <c r="D58" s="239"/>
      <c r="E58" s="25"/>
    </row>
    <row r="59" spans="1:5" ht="12.75">
      <c r="A59" s="56"/>
      <c r="B59" s="239"/>
      <c r="C59" s="239"/>
      <c r="D59" s="239"/>
      <c r="E59" s="25"/>
    </row>
    <row r="60" spans="1:5" ht="12.75">
      <c r="A60" s="57" t="s">
        <v>238</v>
      </c>
      <c r="B60" s="243">
        <f aca="true" t="shared" si="4" ref="B60:D73">B43/B$43</f>
        <v>1</v>
      </c>
      <c r="C60" s="243">
        <f t="shared" si="4"/>
        <v>1</v>
      </c>
      <c r="D60" s="243">
        <f t="shared" si="4"/>
        <v>1</v>
      </c>
      <c r="E60" s="25"/>
    </row>
    <row r="61" spans="1:5" ht="12.75">
      <c r="A61" t="s">
        <v>386</v>
      </c>
      <c r="B61" s="244">
        <f t="shared" si="4"/>
        <v>0.275609756097561</v>
      </c>
      <c r="C61" s="244">
        <f t="shared" si="4"/>
        <v>0.27717391304347827</v>
      </c>
      <c r="D61" s="244">
        <f t="shared" si="4"/>
        <v>0.26288659793814434</v>
      </c>
      <c r="E61" s="25"/>
    </row>
    <row r="62" spans="1:5" ht="12.75">
      <c r="A62" s="57" t="s">
        <v>388</v>
      </c>
      <c r="B62" s="243">
        <f t="shared" si="4"/>
        <v>0.724390243902439</v>
      </c>
      <c r="C62" s="243">
        <f t="shared" si="4"/>
        <v>0.7228260869565217</v>
      </c>
      <c r="D62" s="243">
        <f t="shared" si="4"/>
        <v>0.7371134020618557</v>
      </c>
      <c r="E62" s="25"/>
    </row>
    <row r="63" spans="1:5" ht="12.75">
      <c r="A63" t="s">
        <v>336</v>
      </c>
      <c r="B63" s="244">
        <f t="shared" si="4"/>
        <v>0.24634146341463414</v>
      </c>
      <c r="C63" s="244">
        <f t="shared" si="4"/>
        <v>0.25</v>
      </c>
      <c r="D63" s="244">
        <f t="shared" si="4"/>
        <v>0.2422680412371134</v>
      </c>
      <c r="E63" s="25"/>
    </row>
    <row r="64" spans="1:5" ht="12.75">
      <c r="A64" t="s">
        <v>375</v>
      </c>
      <c r="B64" s="244">
        <f t="shared" si="4"/>
        <v>0.014634146341463415</v>
      </c>
      <c r="C64" s="244">
        <f t="shared" si="4"/>
        <v>0.015217391304347827</v>
      </c>
      <c r="D64" s="244">
        <f t="shared" si="4"/>
        <v>0.015463917525773196</v>
      </c>
      <c r="E64" s="25"/>
    </row>
    <row r="65" spans="1:5" ht="12.75">
      <c r="A65" t="s">
        <v>337</v>
      </c>
      <c r="B65" s="244">
        <f t="shared" si="4"/>
        <v>0.35365853658536583</v>
      </c>
      <c r="C65" s="244">
        <f t="shared" si="4"/>
        <v>0.358695652173913</v>
      </c>
      <c r="D65" s="244">
        <f t="shared" si="4"/>
        <v>0.38144329896907214</v>
      </c>
      <c r="E65" s="25"/>
    </row>
    <row r="66" spans="1:5" ht="12.75">
      <c r="A66" t="s">
        <v>376</v>
      </c>
      <c r="B66" s="244">
        <f t="shared" si="4"/>
        <v>0.0012195121951219512</v>
      </c>
      <c r="C66" s="244">
        <f t="shared" si="4"/>
        <v>0.002173913043478261</v>
      </c>
      <c r="D66" s="244">
        <f t="shared" si="4"/>
        <v>0</v>
      </c>
      <c r="E66" s="25"/>
    </row>
    <row r="67" spans="1:5" ht="12.75">
      <c r="A67" s="57" t="s">
        <v>183</v>
      </c>
      <c r="B67" s="243">
        <f t="shared" si="4"/>
        <v>0.10853658536585366</v>
      </c>
      <c r="C67" s="243">
        <f t="shared" si="4"/>
        <v>0.0967391304347826</v>
      </c>
      <c r="D67" s="243">
        <f t="shared" si="4"/>
        <v>0.0979381443298969</v>
      </c>
      <c r="E67" s="25"/>
    </row>
    <row r="68" spans="1:5" ht="12.75">
      <c r="A68" t="s">
        <v>184</v>
      </c>
      <c r="B68" s="244">
        <f t="shared" si="4"/>
        <v>0.06341463414634146</v>
      </c>
      <c r="C68" s="244">
        <f t="shared" si="4"/>
        <v>0.05326086956521739</v>
      </c>
      <c r="D68" s="244">
        <f t="shared" si="4"/>
        <v>0.049484536082474224</v>
      </c>
      <c r="E68" s="25"/>
    </row>
    <row r="69" spans="1:5" ht="12.75">
      <c r="A69" s="57" t="s">
        <v>201</v>
      </c>
      <c r="B69" s="243">
        <f t="shared" si="4"/>
        <v>0.045121951219512194</v>
      </c>
      <c r="C69" s="243">
        <f t="shared" si="4"/>
        <v>0.043478260869565216</v>
      </c>
      <c r="D69" s="243">
        <f t="shared" si="4"/>
        <v>0.04845360824742268</v>
      </c>
      <c r="E69" s="25"/>
    </row>
    <row r="70" spans="1:5" ht="12.75">
      <c r="A70" s="90" t="s">
        <v>383</v>
      </c>
      <c r="B70" s="243">
        <f t="shared" si="4"/>
        <v>0.024390243902439025</v>
      </c>
      <c r="C70" s="243">
        <f t="shared" si="4"/>
        <v>0.02717391304347826</v>
      </c>
      <c r="D70" s="243">
        <f t="shared" si="4"/>
        <v>0.03711340206185567</v>
      </c>
      <c r="E70" s="25"/>
    </row>
    <row r="71" spans="1:5" ht="12.75">
      <c r="A71" t="s">
        <v>381</v>
      </c>
      <c r="B71" s="244">
        <f t="shared" si="4"/>
        <v>-0.0012195121951219512</v>
      </c>
      <c r="C71" s="244">
        <f t="shared" si="4"/>
        <v>-0.0010869565217391304</v>
      </c>
      <c r="D71" s="244">
        <f t="shared" si="4"/>
        <v>0.0010309278350515464</v>
      </c>
      <c r="E71" s="25"/>
    </row>
    <row r="72" spans="1:5" ht="12.75">
      <c r="A72" t="s">
        <v>206</v>
      </c>
      <c r="B72" s="244">
        <f t="shared" si="4"/>
        <v>0.00975609756097561</v>
      </c>
      <c r="C72" s="244">
        <f t="shared" si="4"/>
        <v>0.007608695652173913</v>
      </c>
      <c r="D72" s="244">
        <f t="shared" si="4"/>
        <v>0.006185567010309278</v>
      </c>
      <c r="E72" s="25"/>
    </row>
    <row r="73" spans="1:5" ht="12.75">
      <c r="A73" s="57" t="s">
        <v>266</v>
      </c>
      <c r="B73" s="243">
        <f t="shared" si="4"/>
        <v>0.00975609756097561</v>
      </c>
      <c r="C73" s="243">
        <f t="shared" si="4"/>
        <v>0.007608695652173913</v>
      </c>
      <c r="D73" s="243">
        <f t="shared" si="4"/>
        <v>0.006185567010309278</v>
      </c>
      <c r="E73" s="25"/>
    </row>
    <row r="74" spans="1:5" ht="12.75">
      <c r="A74" s="56"/>
      <c r="B74" s="239"/>
      <c r="C74" s="239"/>
      <c r="D74" s="239"/>
      <c r="E74" s="25"/>
    </row>
    <row r="75" spans="2:5" ht="12.75">
      <c r="B75" s="239"/>
      <c r="C75" s="239"/>
      <c r="D75" s="239"/>
      <c r="E75" s="25"/>
    </row>
    <row r="76" spans="1:6" ht="14.25">
      <c r="A76" s="41" t="s">
        <v>389</v>
      </c>
      <c r="B76" s="239"/>
      <c r="C76" s="239"/>
      <c r="D76" s="239"/>
      <c r="E76" s="25"/>
      <c r="F76" s="25"/>
    </row>
    <row r="77" spans="1:6" ht="14.25">
      <c r="A77" s="41"/>
      <c r="F77" s="25"/>
    </row>
    <row r="78" spans="1:6" ht="12.75">
      <c r="A78" s="53" t="s">
        <v>390</v>
      </c>
      <c r="B78" s="53">
        <v>0</v>
      </c>
      <c r="C78" s="53">
        <v>1</v>
      </c>
      <c r="D78" s="53">
        <v>2</v>
      </c>
      <c r="E78" s="53">
        <v>3</v>
      </c>
      <c r="F78" s="25"/>
    </row>
    <row r="79" spans="1:5" ht="12.75">
      <c r="A79" t="s">
        <v>1096</v>
      </c>
      <c r="B79" s="68">
        <v>70.2</v>
      </c>
      <c r="C79" s="68">
        <v>106</v>
      </c>
      <c r="D79" s="68">
        <v>132</v>
      </c>
      <c r="E79" s="68">
        <v>161</v>
      </c>
    </row>
    <row r="80" spans="1:5" ht="12.75">
      <c r="A80" t="s">
        <v>313</v>
      </c>
      <c r="B80" s="68">
        <v>29.4</v>
      </c>
      <c r="C80" s="68">
        <v>35.4</v>
      </c>
      <c r="D80" s="68">
        <v>44.3</v>
      </c>
      <c r="E80" s="68">
        <v>53.8</v>
      </c>
    </row>
    <row r="81" spans="1:5" ht="12.75">
      <c r="A81" t="s">
        <v>314</v>
      </c>
      <c r="B81" s="68">
        <v>22.2</v>
      </c>
      <c r="C81" s="68">
        <v>29.4</v>
      </c>
      <c r="D81" s="68">
        <v>36.7</v>
      </c>
      <c r="E81" s="68">
        <v>41.1</v>
      </c>
    </row>
    <row r="82" spans="1:5" ht="12.75">
      <c r="A82" t="s">
        <v>375</v>
      </c>
      <c r="B82" s="68">
        <v>0.5</v>
      </c>
      <c r="C82" s="68">
        <v>0.7</v>
      </c>
      <c r="D82" s="68">
        <v>0.7</v>
      </c>
      <c r="E82" s="68">
        <v>0.8</v>
      </c>
    </row>
    <row r="83" spans="1:5" ht="12.75">
      <c r="A83" t="s">
        <v>391</v>
      </c>
      <c r="B83" s="68">
        <v>13.7</v>
      </c>
      <c r="C83" s="68">
        <v>19.8</v>
      </c>
      <c r="D83" s="68">
        <v>24.6</v>
      </c>
      <c r="E83" s="68">
        <v>30.5</v>
      </c>
    </row>
    <row r="84" spans="1:5" ht="12.75">
      <c r="A84" s="33" t="s">
        <v>392</v>
      </c>
      <c r="B84" s="72">
        <v>2.5</v>
      </c>
      <c r="C84" s="72">
        <v>8.9</v>
      </c>
      <c r="D84" s="72">
        <v>11.2</v>
      </c>
      <c r="E84" s="72">
        <v>11.3</v>
      </c>
    </row>
    <row r="85" spans="1:5" ht="12.75">
      <c r="A85" t="s">
        <v>184</v>
      </c>
      <c r="B85" s="73">
        <v>1.4</v>
      </c>
      <c r="C85" s="73">
        <v>2.7</v>
      </c>
      <c r="D85" s="73">
        <v>3.6</v>
      </c>
      <c r="E85" s="73">
        <v>5</v>
      </c>
    </row>
    <row r="87" spans="1:5" ht="12.75">
      <c r="A87" t="s">
        <v>362</v>
      </c>
      <c r="B87" s="68">
        <f>SUM(B88:B90)</f>
        <v>38.75</v>
      </c>
      <c r="C87" s="68">
        <f>SUM(C88:C90)</f>
        <v>54.199999999999996</v>
      </c>
      <c r="D87" s="68">
        <f>SUM(D88:D90)</f>
        <v>67.8</v>
      </c>
      <c r="E87" s="68">
        <f>SUM(E88:E90)</f>
        <v>80.35</v>
      </c>
    </row>
    <row r="88" spans="1:5" ht="12.75">
      <c r="A88" s="22" t="s">
        <v>337</v>
      </c>
      <c r="B88" s="71">
        <f>B80</f>
        <v>29.4</v>
      </c>
      <c r="C88" s="71">
        <f>C80</f>
        <v>35.4</v>
      </c>
      <c r="D88" s="71">
        <f>D80</f>
        <v>44.3</v>
      </c>
      <c r="E88" s="71">
        <f>E80</f>
        <v>53.8</v>
      </c>
    </row>
    <row r="89" spans="1:5" ht="12.75">
      <c r="A89" s="22" t="s">
        <v>375</v>
      </c>
      <c r="B89" s="71">
        <f>B84</f>
        <v>2.5</v>
      </c>
      <c r="C89" s="71">
        <f>C84</f>
        <v>8.9</v>
      </c>
      <c r="D89" s="71">
        <f>D84</f>
        <v>11.2</v>
      </c>
      <c r="E89" s="71">
        <f>E84</f>
        <v>11.3</v>
      </c>
    </row>
    <row r="90" spans="1:5" ht="12.75">
      <c r="A90" s="22" t="s">
        <v>396</v>
      </c>
      <c r="B90" s="71">
        <f>B83/2</f>
        <v>6.85</v>
      </c>
      <c r="C90" s="71">
        <f>C83/2</f>
        <v>9.9</v>
      </c>
      <c r="D90" s="71">
        <f>D83/2</f>
        <v>12.3</v>
      </c>
      <c r="E90" s="71">
        <f>E83/2</f>
        <v>15.25</v>
      </c>
    </row>
    <row r="91" spans="1:5" ht="12.75">
      <c r="A91" t="s">
        <v>363</v>
      </c>
      <c r="B91" s="68">
        <f>SUM(B92:B95)</f>
        <v>30.949999999999996</v>
      </c>
      <c r="C91" s="68">
        <f>SUM(C92:C95)</f>
        <v>42.7</v>
      </c>
      <c r="D91" s="68">
        <f>SUM(D92:D95)</f>
        <v>53.300000000000004</v>
      </c>
      <c r="E91" s="68">
        <f>SUM(E92:E95)</f>
        <v>62.15</v>
      </c>
    </row>
    <row r="92" spans="1:5" ht="12.75">
      <c r="A92" s="22" t="s">
        <v>337</v>
      </c>
      <c r="B92" s="71">
        <f aca="true" t="shared" si="5" ref="B92:E93">B81</f>
        <v>22.2</v>
      </c>
      <c r="C92" s="71">
        <f t="shared" si="5"/>
        <v>29.4</v>
      </c>
      <c r="D92" s="71">
        <f t="shared" si="5"/>
        <v>36.7</v>
      </c>
      <c r="E92" s="71">
        <f t="shared" si="5"/>
        <v>41.1</v>
      </c>
    </row>
    <row r="93" spans="1:5" ht="12.75">
      <c r="A93" s="22" t="s">
        <v>375</v>
      </c>
      <c r="B93" s="71">
        <f t="shared" si="5"/>
        <v>0.5</v>
      </c>
      <c r="C93" s="71">
        <f t="shared" si="5"/>
        <v>0.7</v>
      </c>
      <c r="D93" s="71">
        <f t="shared" si="5"/>
        <v>0.7</v>
      </c>
      <c r="E93" s="71">
        <f t="shared" si="5"/>
        <v>0.8</v>
      </c>
    </row>
    <row r="94" spans="1:5" ht="12.75">
      <c r="A94" s="22" t="s">
        <v>396</v>
      </c>
      <c r="B94" s="71">
        <f>B83/2</f>
        <v>6.85</v>
      </c>
      <c r="C94" s="71">
        <f>C83/2</f>
        <v>9.9</v>
      </c>
      <c r="D94" s="71">
        <f>D83/2</f>
        <v>12.3</v>
      </c>
      <c r="E94" s="71">
        <f>E83/2</f>
        <v>15.25</v>
      </c>
    </row>
    <row r="95" spans="1:5" ht="12.75">
      <c r="A95" s="22" t="s">
        <v>184</v>
      </c>
      <c r="B95" s="71">
        <f>B85</f>
        <v>1.4</v>
      </c>
      <c r="C95" s="71">
        <f>C85</f>
        <v>2.7</v>
      </c>
      <c r="D95" s="71">
        <f>D85</f>
        <v>3.6</v>
      </c>
      <c r="E95" s="71">
        <f>E85</f>
        <v>5</v>
      </c>
    </row>
    <row r="97" spans="1:5" ht="12.75">
      <c r="A97" s="66" t="s">
        <v>395</v>
      </c>
      <c r="B97" s="68">
        <f>B91/(1-B87/B79)</f>
        <v>69.08394276629569</v>
      </c>
      <c r="C97" s="68">
        <f>C91/(1-C87/C79)</f>
        <v>87.37837837837839</v>
      </c>
      <c r="D97" s="68">
        <f>D91/(1-D87/D79)</f>
        <v>109.58878504672899</v>
      </c>
      <c r="E97" s="68">
        <f>E91/(1-E87/E79)</f>
        <v>124.06881587104772</v>
      </c>
    </row>
    <row r="98" spans="1:5" ht="12.75">
      <c r="A98" s="66" t="s">
        <v>369</v>
      </c>
      <c r="B98" s="25">
        <f>B79/B97</f>
        <v>1.0161550888529889</v>
      </c>
      <c r="C98" s="25">
        <f>C79/C97</f>
        <v>1.2131147540983604</v>
      </c>
      <c r="D98" s="25">
        <f>D79/D97</f>
        <v>1.2045028142589116</v>
      </c>
      <c r="E98" s="25">
        <f>E79/E97</f>
        <v>1.2976669348350767</v>
      </c>
    </row>
    <row r="100" spans="1:5" ht="12.75">
      <c r="A100" t="s">
        <v>394</v>
      </c>
      <c r="B100" s="68">
        <v>1.6</v>
      </c>
      <c r="C100" s="68">
        <f>1.6+3</f>
        <v>4.6</v>
      </c>
      <c r="D100" s="68">
        <f>1.6+3</f>
        <v>4.6</v>
      </c>
      <c r="E100" s="68">
        <f>1.6+3</f>
        <v>4.6</v>
      </c>
    </row>
    <row r="102" spans="1:5" ht="12.75">
      <c r="A102" s="66" t="s">
        <v>393</v>
      </c>
      <c r="B102" s="68">
        <f>(B91+B100)/(1-B87/B79)</f>
        <v>72.65532591414944</v>
      </c>
      <c r="C102" s="68">
        <f>(C91+C100)/(1-C87/C79)</f>
        <v>96.7915057915058</v>
      </c>
      <c r="D102" s="68">
        <f>(D91+D100)/(1-D87/D79)</f>
        <v>119.04672897196264</v>
      </c>
      <c r="E102" s="68">
        <f>(E91+E100)/(1-E87/E79)</f>
        <v>133.2517048977061</v>
      </c>
    </row>
    <row r="103" spans="1:5" ht="12.75">
      <c r="A103" s="66" t="s">
        <v>369</v>
      </c>
      <c r="B103" s="25">
        <f>B79/B102</f>
        <v>0.9662058371735791</v>
      </c>
      <c r="C103" s="25">
        <f>C79/C102</f>
        <v>1.095137420718816</v>
      </c>
      <c r="D103" s="25">
        <f>D79/D102</f>
        <v>1.1088082901554401</v>
      </c>
      <c r="E103" s="25">
        <f>E79/E102</f>
        <v>1.2082397003745322</v>
      </c>
    </row>
  </sheetData>
  <mergeCells count="1">
    <mergeCell ref="F41:G41"/>
  </mergeCells>
  <printOptions/>
  <pageMargins left="0.7874015748031497" right="0.7874015748031497" top="0.984251968503937" bottom="0.984251968503937" header="0.5118110236220472" footer="0.5118110236220472"/>
  <pageSetup fitToHeight="3" fitToWidth="1" horizontalDpi="200" verticalDpi="200" orientation="landscape" paperSize="9" r:id="rId1"/>
  <headerFooter alignWithMargins="0">
    <oddFooter>&amp;L&amp;"Verdana,Italique"&amp;9&amp;F - &amp;A&amp;C&amp;P / &amp;N&amp;R&amp;"Verdana,Italique"&amp;9&amp;D - &amp;T</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88"/>
  <sheetViews>
    <sheetView showGridLines="0" zoomScale="75" zoomScaleNormal="75" workbookViewId="0" topLeftCell="A1">
      <selection activeCell="A1" sqref="A1"/>
    </sheetView>
  </sheetViews>
  <sheetFormatPr defaultColWidth="11.00390625" defaultRowHeight="12.75"/>
  <cols>
    <col min="1" max="1" width="34.875" style="0" customWidth="1"/>
    <col min="3" max="3" width="12.625" style="0" customWidth="1"/>
  </cols>
  <sheetData>
    <row r="1" spans="1:2" ht="14.25">
      <c r="A1" s="41" t="s">
        <v>397</v>
      </c>
      <c r="B1" s="4" t="s">
        <v>549</v>
      </c>
    </row>
    <row r="2" spans="1:2" ht="14.25">
      <c r="A2" s="41"/>
      <c r="B2" s="4"/>
    </row>
    <row r="3" spans="1:2" ht="12.75">
      <c r="A3" t="s">
        <v>238</v>
      </c>
      <c r="B3">
        <v>100</v>
      </c>
    </row>
    <row r="4" spans="1:2" ht="12.75">
      <c r="A4" t="s">
        <v>241</v>
      </c>
      <c r="B4">
        <v>30</v>
      </c>
    </row>
    <row r="5" spans="1:2" ht="12.75">
      <c r="A5" t="s">
        <v>398</v>
      </c>
      <c r="B5">
        <v>40</v>
      </c>
    </row>
    <row r="6" spans="1:2" ht="12.75">
      <c r="A6" t="s">
        <v>340</v>
      </c>
      <c r="B6" s="66">
        <v>20</v>
      </c>
    </row>
    <row r="8" ht="12.75">
      <c r="A8" s="1" t="s">
        <v>399</v>
      </c>
    </row>
    <row r="9" spans="1:4" ht="12.75">
      <c r="A9" t="s">
        <v>400</v>
      </c>
      <c r="B9">
        <v>15</v>
      </c>
      <c r="C9" t="s">
        <v>401</v>
      </c>
      <c r="D9" s="78" t="s">
        <v>403</v>
      </c>
    </row>
    <row r="10" spans="1:4" ht="12.75">
      <c r="A10" t="s">
        <v>405</v>
      </c>
      <c r="B10">
        <v>1</v>
      </c>
      <c r="C10" t="s">
        <v>402</v>
      </c>
      <c r="D10">
        <v>30</v>
      </c>
    </row>
    <row r="11" spans="1:3" ht="12.75">
      <c r="A11" s="22" t="s">
        <v>189</v>
      </c>
      <c r="B11" s="76">
        <v>1</v>
      </c>
      <c r="C11" s="13" t="s">
        <v>402</v>
      </c>
    </row>
    <row r="12" spans="1:3" ht="12.75">
      <c r="A12" s="22" t="s">
        <v>404</v>
      </c>
      <c r="B12" s="13">
        <v>15</v>
      </c>
      <c r="C12" s="13" t="s">
        <v>401</v>
      </c>
    </row>
    <row r="13" spans="1:3" ht="12.75">
      <c r="A13" t="s">
        <v>409</v>
      </c>
      <c r="B13">
        <v>15</v>
      </c>
      <c r="C13" t="s">
        <v>401</v>
      </c>
    </row>
    <row r="15" ht="12.75">
      <c r="A15" s="1" t="s">
        <v>406</v>
      </c>
    </row>
    <row r="16" spans="1:3" ht="12.75">
      <c r="A16" t="s">
        <v>407</v>
      </c>
      <c r="B16">
        <v>2</v>
      </c>
      <c r="C16" t="s">
        <v>402</v>
      </c>
    </row>
    <row r="17" spans="1:3" ht="12.75">
      <c r="A17" t="s">
        <v>408</v>
      </c>
      <c r="B17">
        <v>1</v>
      </c>
      <c r="C17" t="s">
        <v>402</v>
      </c>
    </row>
    <row r="19" spans="2:4" ht="31.5">
      <c r="B19" s="74" t="s">
        <v>410</v>
      </c>
      <c r="C19" s="82" t="s">
        <v>412</v>
      </c>
      <c r="D19" s="74" t="s">
        <v>411</v>
      </c>
    </row>
    <row r="20" spans="1:4" ht="12.75">
      <c r="A20" t="s">
        <v>400</v>
      </c>
      <c r="B20" s="25">
        <f>B4/B3</f>
        <v>0.3</v>
      </c>
      <c r="C20" s="75">
        <f>B9</f>
        <v>15</v>
      </c>
      <c r="D20" s="75">
        <f>B20*C20</f>
        <v>4.5</v>
      </c>
    </row>
    <row r="21" spans="1:2" ht="12.75">
      <c r="A21" s="330" t="s">
        <v>413</v>
      </c>
      <c r="B21" s="25"/>
    </row>
    <row r="22" spans="1:4" ht="12.75">
      <c r="A22" s="22" t="s">
        <v>189</v>
      </c>
      <c r="B22" s="79">
        <f>B4/B3</f>
        <v>0.3</v>
      </c>
      <c r="C22" s="13">
        <f>B11*Jours</f>
        <v>30</v>
      </c>
      <c r="D22" s="13">
        <f>B22*C22</f>
        <v>9</v>
      </c>
    </row>
    <row r="23" spans="1:4" ht="12.75">
      <c r="A23" s="22" t="s">
        <v>404</v>
      </c>
      <c r="B23" s="79">
        <f>B5/B3</f>
        <v>0.4</v>
      </c>
      <c r="C23" s="13">
        <f>B12</f>
        <v>15</v>
      </c>
      <c r="D23" s="13">
        <f>B23*C23</f>
        <v>6</v>
      </c>
    </row>
    <row r="24" spans="1:4" ht="12.75">
      <c r="A24" t="s">
        <v>409</v>
      </c>
      <c r="B24" s="25">
        <f>(B4+B5+B6)/B3</f>
        <v>0.9</v>
      </c>
      <c r="C24">
        <f>B13</f>
        <v>15</v>
      </c>
      <c r="D24">
        <f>B24*C24</f>
        <v>13.5</v>
      </c>
    </row>
    <row r="25" spans="1:4" ht="12.75">
      <c r="A25" s="55" t="s">
        <v>414</v>
      </c>
      <c r="B25" s="248">
        <f>B3/B3</f>
        <v>1</v>
      </c>
      <c r="C25" s="55">
        <f>B17*Jours</f>
        <v>30</v>
      </c>
      <c r="D25" s="55">
        <f>B25*C25</f>
        <v>30</v>
      </c>
    </row>
    <row r="26" spans="1:4" ht="12.75">
      <c r="A26" s="33" t="s">
        <v>415</v>
      </c>
      <c r="B26" s="80">
        <f>-B4/B3</f>
        <v>-0.3</v>
      </c>
      <c r="C26" s="153">
        <f>B16*Jours</f>
        <v>60</v>
      </c>
      <c r="D26" s="153">
        <f>B26*C26</f>
        <v>-18</v>
      </c>
    </row>
    <row r="27" spans="1:4" ht="12.75">
      <c r="A27" s="77" t="s">
        <v>1095</v>
      </c>
      <c r="D27" s="75">
        <f>SUM(D20:D26)</f>
        <v>45</v>
      </c>
    </row>
    <row r="29" ht="14.25">
      <c r="A29" s="41" t="s">
        <v>416</v>
      </c>
    </row>
    <row r="30" ht="14.25">
      <c r="A30" s="41"/>
    </row>
    <row r="31" spans="1:3" ht="12.75">
      <c r="A31" t="s">
        <v>417</v>
      </c>
      <c r="B31" s="25">
        <v>0.25</v>
      </c>
      <c r="C31" t="s">
        <v>418</v>
      </c>
    </row>
    <row r="32" spans="1:2" ht="12.75">
      <c r="A32" t="s">
        <v>419</v>
      </c>
      <c r="B32">
        <v>100</v>
      </c>
    </row>
    <row r="33" spans="1:2" ht="12.75">
      <c r="A33" t="s">
        <v>420</v>
      </c>
      <c r="B33">
        <v>120</v>
      </c>
    </row>
    <row r="34" spans="1:3" ht="12.75">
      <c r="A34" t="s">
        <v>421</v>
      </c>
      <c r="B34" s="47">
        <v>0.15</v>
      </c>
      <c r="C34" t="s">
        <v>790</v>
      </c>
    </row>
    <row r="36" spans="1:2" ht="25.5">
      <c r="A36" s="3" t="s">
        <v>422</v>
      </c>
      <c r="B36">
        <f>B34*B33-B31*(B33-B32)</f>
        <v>13</v>
      </c>
    </row>
    <row r="38" ht="14.25">
      <c r="A38" s="41" t="s">
        <v>423</v>
      </c>
    </row>
    <row r="39" ht="14.25">
      <c r="A39" s="41"/>
    </row>
    <row r="40" spans="1:6" ht="12.75">
      <c r="A40" s="1" t="s">
        <v>424</v>
      </c>
      <c r="B40" s="4">
        <v>1</v>
      </c>
      <c r="C40" s="4">
        <v>2</v>
      </c>
      <c r="D40" s="4">
        <v>3</v>
      </c>
      <c r="E40" s="4">
        <v>4</v>
      </c>
      <c r="F40" s="4">
        <v>5</v>
      </c>
    </row>
    <row r="41" spans="1:6" ht="12.75">
      <c r="A41" t="s">
        <v>425</v>
      </c>
      <c r="B41" s="6">
        <v>6.1</v>
      </c>
      <c r="C41" s="6">
        <v>7.4</v>
      </c>
      <c r="D41" s="6">
        <v>9.1</v>
      </c>
      <c r="E41" s="6">
        <v>13</v>
      </c>
      <c r="F41" s="6">
        <v>15.4</v>
      </c>
    </row>
    <row r="42" spans="1:6" ht="12.75">
      <c r="A42" t="s">
        <v>426</v>
      </c>
      <c r="B42" s="6">
        <v>6.4</v>
      </c>
      <c r="C42" s="6">
        <v>8.9</v>
      </c>
      <c r="D42" s="6">
        <v>10.5</v>
      </c>
      <c r="E42" s="6">
        <v>11.1</v>
      </c>
      <c r="F42" s="6">
        <v>11.6</v>
      </c>
    </row>
    <row r="43" spans="1:6" ht="12.75">
      <c r="A43" t="s">
        <v>427</v>
      </c>
      <c r="B43" s="6">
        <v>2.1</v>
      </c>
      <c r="C43" s="6">
        <v>3.5</v>
      </c>
      <c r="D43" s="6">
        <v>3.5</v>
      </c>
      <c r="E43" s="6">
        <v>3.8</v>
      </c>
      <c r="F43" s="6">
        <v>3.4</v>
      </c>
    </row>
    <row r="45" ht="12.75">
      <c r="A45" s="1" t="s">
        <v>286</v>
      </c>
    </row>
    <row r="46" spans="1:6" ht="12.75">
      <c r="A46" t="s">
        <v>428</v>
      </c>
      <c r="B46" s="6">
        <v>32.8</v>
      </c>
      <c r="C46" s="6">
        <v>44.7</v>
      </c>
      <c r="D46" s="6">
        <v>49.4</v>
      </c>
      <c r="E46" s="6">
        <v>48.9</v>
      </c>
      <c r="F46" s="6">
        <v>50</v>
      </c>
    </row>
    <row r="47" spans="1:6" ht="12.75">
      <c r="A47" t="s">
        <v>429</v>
      </c>
      <c r="B47" s="6">
        <v>38.9</v>
      </c>
      <c r="C47" s="6">
        <v>52.6</v>
      </c>
      <c r="D47" s="6">
        <v>58.1</v>
      </c>
      <c r="E47" s="6">
        <v>57.4</v>
      </c>
      <c r="F47" s="6">
        <v>57.2</v>
      </c>
    </row>
    <row r="48" spans="1:6" ht="12.75">
      <c r="A48" t="s">
        <v>430</v>
      </c>
      <c r="B48" s="6">
        <v>12.5</v>
      </c>
      <c r="C48" s="6">
        <v>19.2</v>
      </c>
      <c r="D48" s="6">
        <v>19.6</v>
      </c>
      <c r="E48" s="6">
        <v>20.9</v>
      </c>
      <c r="F48" s="6">
        <v>20.4</v>
      </c>
    </row>
    <row r="50" ht="12.75">
      <c r="A50" s="1" t="s">
        <v>520</v>
      </c>
    </row>
    <row r="51" spans="1:6" ht="12.75">
      <c r="A51" t="s">
        <v>431</v>
      </c>
      <c r="B51" s="6">
        <f>B41+B42-B43</f>
        <v>10.4</v>
      </c>
      <c r="C51" s="6">
        <f>C41+C42-C43</f>
        <v>12.8</v>
      </c>
      <c r="D51" s="6">
        <f>D41+D42-D43</f>
        <v>16.1</v>
      </c>
      <c r="E51" s="6">
        <f>E41+E42-E43</f>
        <v>20.3</v>
      </c>
      <c r="F51" s="6">
        <f>F41+F42-F43</f>
        <v>23.6</v>
      </c>
    </row>
    <row r="52" spans="1:6" ht="12.75">
      <c r="A52" t="s">
        <v>433</v>
      </c>
      <c r="B52" s="108">
        <f>B51/B46*365</f>
        <v>115.73170731707319</v>
      </c>
      <c r="C52" s="108">
        <f>C51/C46*365</f>
        <v>104.51901565995526</v>
      </c>
      <c r="D52" s="108">
        <f>D51/D46*365</f>
        <v>118.95748987854252</v>
      </c>
      <c r="E52" s="108">
        <f>E51/E46*365</f>
        <v>151.5235173824131</v>
      </c>
      <c r="F52" s="108">
        <f>F51/F46*365</f>
        <v>172.28</v>
      </c>
    </row>
    <row r="53" spans="1:6" ht="12.75">
      <c r="A53" t="s">
        <v>434</v>
      </c>
      <c r="B53" s="227">
        <f>B42/B47*365</f>
        <v>60.051413881748076</v>
      </c>
      <c r="C53" s="227">
        <f>C42/C47*365</f>
        <v>61.75855513307985</v>
      </c>
      <c r="D53" s="227">
        <f>D42/D47*365</f>
        <v>65.96385542168674</v>
      </c>
      <c r="E53" s="227">
        <f>E42/E47*365</f>
        <v>70.58362369337979</v>
      </c>
      <c r="F53" s="227">
        <f>F42/F47*365</f>
        <v>74.02097902097901</v>
      </c>
    </row>
    <row r="54" spans="1:6" ht="12.75">
      <c r="A54" t="s">
        <v>432</v>
      </c>
      <c r="B54" s="227">
        <f>B41/B46*365</f>
        <v>67.8810975609756</v>
      </c>
      <c r="C54" s="227">
        <f>C41/C46*365</f>
        <v>60.42505592841163</v>
      </c>
      <c r="D54" s="227">
        <f>D41/D46*365</f>
        <v>67.23684210526315</v>
      </c>
      <c r="E54" s="227">
        <f>E41/E46*365</f>
        <v>97.03476482617586</v>
      </c>
      <c r="F54" s="227">
        <f>F41/F46*365</f>
        <v>112.42</v>
      </c>
    </row>
    <row r="55" spans="1:6" ht="12.75">
      <c r="A55" t="s">
        <v>494</v>
      </c>
      <c r="B55" s="227">
        <f>B43/B48*365</f>
        <v>61.32</v>
      </c>
      <c r="C55" s="227">
        <f>C43/C48*365</f>
        <v>66.53645833333334</v>
      </c>
      <c r="D55" s="227">
        <f>D43/D48*365</f>
        <v>65.17857142857142</v>
      </c>
      <c r="E55" s="227">
        <f>E43/E48*365</f>
        <v>66.36363636363636</v>
      </c>
      <c r="F55" s="227">
        <f>F43/F48*365</f>
        <v>60.83333333333334</v>
      </c>
    </row>
    <row r="57" ht="14.25">
      <c r="A57" s="41" t="s">
        <v>495</v>
      </c>
    </row>
    <row r="58" spans="1:3" ht="12.75">
      <c r="A58" t="s">
        <v>504</v>
      </c>
      <c r="B58">
        <v>4</v>
      </c>
      <c r="C58" t="s">
        <v>498</v>
      </c>
    </row>
    <row r="59" spans="1:3" ht="12.75">
      <c r="A59" t="s">
        <v>505</v>
      </c>
      <c r="B59" s="47">
        <v>0.6</v>
      </c>
      <c r="C59" t="s">
        <v>499</v>
      </c>
    </row>
    <row r="60" spans="1:3" ht="12.75">
      <c r="A60" t="s">
        <v>506</v>
      </c>
      <c r="B60">
        <v>45</v>
      </c>
      <c r="C60" t="s">
        <v>500</v>
      </c>
    </row>
    <row r="61" spans="1:3" ht="12.75">
      <c r="A61" t="s">
        <v>507</v>
      </c>
      <c r="B61">
        <v>30</v>
      </c>
      <c r="C61" t="s">
        <v>401</v>
      </c>
    </row>
    <row r="62" spans="1:3" ht="12.75">
      <c r="A62" t="s">
        <v>508</v>
      </c>
      <c r="B62" s="47">
        <v>0.1</v>
      </c>
      <c r="C62" t="s">
        <v>499</v>
      </c>
    </row>
    <row r="63" spans="1:5" ht="12.75">
      <c r="A63" t="s">
        <v>509</v>
      </c>
      <c r="B63" s="47">
        <v>0.5</v>
      </c>
      <c r="C63" t="s">
        <v>501</v>
      </c>
      <c r="D63">
        <v>15</v>
      </c>
      <c r="E63" t="s">
        <v>502</v>
      </c>
    </row>
    <row r="64" spans="1:5" ht="12.75">
      <c r="A64" t="s">
        <v>510</v>
      </c>
      <c r="B64" s="83">
        <v>0.196</v>
      </c>
      <c r="C64" t="s">
        <v>503</v>
      </c>
      <c r="D64">
        <v>25</v>
      </c>
      <c r="E64" t="s">
        <v>502</v>
      </c>
    </row>
    <row r="66" spans="1:4" ht="31.5">
      <c r="A66" s="4" t="s">
        <v>496</v>
      </c>
      <c r="B66" s="74" t="s">
        <v>410</v>
      </c>
      <c r="C66" s="82" t="s">
        <v>412</v>
      </c>
      <c r="D66" s="74" t="s">
        <v>411</v>
      </c>
    </row>
    <row r="67" spans="1:4" ht="12.75">
      <c r="A67" t="s">
        <v>512</v>
      </c>
      <c r="B67" s="145">
        <f>-B59*(1+TVA)</f>
        <v>-0.7175999999999999</v>
      </c>
      <c r="C67" s="6">
        <f>B61</f>
        <v>30</v>
      </c>
      <c r="D67" s="6">
        <f aca="true" t="shared" si="0" ref="D67:D72">B67*C67</f>
        <v>-21.528</v>
      </c>
    </row>
    <row r="68" spans="1:4" ht="12.75">
      <c r="A68" t="s">
        <v>337</v>
      </c>
      <c r="B68" s="84">
        <f>-B62</f>
        <v>-0.1</v>
      </c>
      <c r="C68" s="6">
        <v>15</v>
      </c>
      <c r="D68" s="6">
        <f t="shared" si="0"/>
        <v>-1.5</v>
      </c>
    </row>
    <row r="69" spans="1:4" ht="12.75">
      <c r="A69" t="s">
        <v>513</v>
      </c>
      <c r="B69" s="84">
        <f>-B62*B63</f>
        <v>-0.05</v>
      </c>
      <c r="C69" s="6">
        <f>15+D63</f>
        <v>30</v>
      </c>
      <c r="D69" s="6">
        <f t="shared" si="0"/>
        <v>-1.5</v>
      </c>
    </row>
    <row r="70" spans="1:4" ht="12.75">
      <c r="A70" t="s">
        <v>497</v>
      </c>
      <c r="B70" s="84">
        <v>0.6</v>
      </c>
      <c r="C70" s="6">
        <f>360/B58</f>
        <v>90</v>
      </c>
      <c r="D70" s="6">
        <f t="shared" si="0"/>
        <v>54</v>
      </c>
    </row>
    <row r="71" spans="1:4" ht="12.75">
      <c r="A71" t="s">
        <v>511</v>
      </c>
      <c r="B71" s="145">
        <f>(1+TVA)</f>
        <v>1.196</v>
      </c>
      <c r="C71" s="6">
        <f>B60+15</f>
        <v>60</v>
      </c>
      <c r="D71" s="6">
        <f t="shared" si="0"/>
        <v>71.75999999999999</v>
      </c>
    </row>
    <row r="72" spans="1:4" ht="12.75">
      <c r="A72" t="s">
        <v>514</v>
      </c>
      <c r="B72" s="84">
        <f>-TVA+B59*TVA</f>
        <v>-0.07840000000000001</v>
      </c>
      <c r="C72" s="6">
        <f>15+D64</f>
        <v>40</v>
      </c>
      <c r="D72" s="6">
        <f t="shared" si="0"/>
        <v>-3.1360000000000006</v>
      </c>
    </row>
    <row r="73" spans="1:5" ht="12.75">
      <c r="A73" s="77" t="s">
        <v>1095</v>
      </c>
      <c r="D73" s="173">
        <f>SUM(D67:D72)</f>
        <v>98.096</v>
      </c>
      <c r="E73" t="s">
        <v>401</v>
      </c>
    </row>
    <row r="76" ht="14.25">
      <c r="A76" s="41" t="s">
        <v>515</v>
      </c>
    </row>
    <row r="78" spans="1:3" ht="12.75">
      <c r="A78" t="s">
        <v>504</v>
      </c>
      <c r="B78">
        <v>15</v>
      </c>
      <c r="C78" t="s">
        <v>498</v>
      </c>
    </row>
    <row r="79" spans="1:3" ht="12.75">
      <c r="A79" t="s">
        <v>516</v>
      </c>
      <c r="B79">
        <v>90</v>
      </c>
      <c r="C79" t="s">
        <v>401</v>
      </c>
    </row>
    <row r="80" spans="1:3" ht="12.75">
      <c r="A80" t="s">
        <v>517</v>
      </c>
      <c r="B80">
        <v>10</v>
      </c>
      <c r="C80" t="s">
        <v>401</v>
      </c>
    </row>
    <row r="81" spans="1:2" ht="12.75">
      <c r="A81" t="s">
        <v>518</v>
      </c>
      <c r="B81" s="47">
        <v>0.75</v>
      </c>
    </row>
    <row r="82" ht="12.75">
      <c r="A82" t="s">
        <v>519</v>
      </c>
    </row>
    <row r="84" spans="1:4" ht="31.5">
      <c r="A84" s="4" t="s">
        <v>431</v>
      </c>
      <c r="B84" s="74" t="s">
        <v>410</v>
      </c>
      <c r="C84" s="82" t="s">
        <v>412</v>
      </c>
      <c r="D84" s="74" t="s">
        <v>411</v>
      </c>
    </row>
    <row r="85" spans="1:4" ht="12.75">
      <c r="A85" t="s">
        <v>497</v>
      </c>
      <c r="B85" s="228">
        <v>0.75</v>
      </c>
      <c r="C85" s="6">
        <f>365/B78</f>
        <v>24.333333333333332</v>
      </c>
      <c r="D85" s="6">
        <f>B85*C85</f>
        <v>18.25</v>
      </c>
    </row>
    <row r="86" spans="1:4" ht="12.75">
      <c r="A86" t="s">
        <v>414</v>
      </c>
      <c r="B86" s="47">
        <v>1</v>
      </c>
      <c r="C86" s="6">
        <f>B80</f>
        <v>10</v>
      </c>
      <c r="D86" s="6">
        <f>B86*C86</f>
        <v>10</v>
      </c>
    </row>
    <row r="87" spans="1:4" ht="12.75">
      <c r="A87" t="s">
        <v>512</v>
      </c>
      <c r="B87" s="228">
        <v>0.75</v>
      </c>
      <c r="C87" s="6">
        <f>B79</f>
        <v>90</v>
      </c>
      <c r="D87" s="6">
        <f>B87*C87</f>
        <v>67.5</v>
      </c>
    </row>
    <row r="88" spans="1:5" ht="12.75">
      <c r="A88" s="77" t="s">
        <v>1095</v>
      </c>
      <c r="D88" s="173">
        <f>D86+D85-D87</f>
        <v>-39.25</v>
      </c>
      <c r="E88" t="s">
        <v>401</v>
      </c>
    </row>
  </sheetData>
  <printOptions/>
  <pageMargins left="0.7874015748031497" right="0.7874015748031497" top="0.984251968503937" bottom="0.984251968503937" header="0.5118110236220472" footer="0.5118110236220472"/>
  <pageSetup fitToHeight="4" fitToWidth="1" horizontalDpi="200" verticalDpi="200" orientation="landscape" paperSize="9" r:id="rId1"/>
  <headerFooter alignWithMargins="0">
    <oddFooter>&amp;L&amp;"Verdana,Italique"&amp;9&amp;F - &amp;A&amp;C&amp;P / &amp;N&amp;R&amp;"Verdana,Italique"&amp;9&amp;D -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Pochez</dc:creator>
  <cp:keywords/>
  <dc:description/>
  <cp:lastModifiedBy>Vincent</cp:lastModifiedBy>
  <cp:lastPrinted>2002-05-08T15:08:50Z</cp:lastPrinted>
  <dcterms:created xsi:type="dcterms:W3CDTF">2001-06-20T16:25:08Z</dcterms:created>
  <dcterms:modified xsi:type="dcterms:W3CDTF">2005-11-06T09:15:46Z</dcterms:modified>
  <cp:category/>
  <cp:version/>
  <cp:contentType/>
  <cp:contentStatus/>
</cp:coreProperties>
</file>