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embeddings/oleObject1.bin" ContentType="application/vnd.openxmlformats-officedocument.oleObject"/>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4.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5.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6.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1.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2.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3.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4.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5.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codeName="ThisWorkbook" autoCompressPictures="0"/>
  <mc:AlternateContent xmlns:mc="http://schemas.openxmlformats.org/markup-compatibility/2006">
    <mc:Choice Requires="x15">
      <x15ac:absPath xmlns:x15ac="http://schemas.microsoft.com/office/spreadsheetml/2010/11/ac" url="/Users/quiry/Downloads/"/>
    </mc:Choice>
  </mc:AlternateContent>
  <xr:revisionPtr revIDLastSave="0" documentId="8_{23E1C454-9C81-5847-B1C0-BEA0A2B8943C}" xr6:coauthVersionLast="45" xr6:coauthVersionMax="45" xr10:uidLastSave="{00000000-0000-0000-0000-000000000000}"/>
  <bookViews>
    <workbookView xWindow="0" yWindow="460" windowWidth="25600" windowHeight="16060" tabRatio="934" firstSheet="22" activeTab="22" xr2:uid="{00000000-000D-0000-FFFF-FFFF00000000}"/>
  </bookViews>
  <sheets>
    <sheet name="Chapter 2" sheetId="1" r:id="rId1"/>
    <sheet name=" Chapter 3" sheetId="4" r:id="rId2"/>
    <sheet name="Chapter 4" sheetId="5" r:id="rId3"/>
    <sheet name="Chapter 5" sheetId="6" r:id="rId4"/>
    <sheet name="Chapter 6" sheetId="7" r:id="rId5"/>
    <sheet name="Chapter 8" sheetId="8" r:id="rId6"/>
    <sheet name="Chapter 9" sheetId="14" r:id="rId7"/>
    <sheet name="Chapter 10" sheetId="49" r:id="rId8"/>
    <sheet name=" Chapter 11" sheetId="15" r:id="rId9"/>
    <sheet name="Chapter 12" sheetId="16" r:id="rId10"/>
    <sheet name="Chapter 13" sheetId="17" r:id="rId11"/>
    <sheet name=" Chapter 16" sheetId="57" r:id="rId12"/>
    <sheet name="Chapter 17" sheetId="20" r:id="rId13"/>
    <sheet name="Chapter 18" sheetId="24" r:id="rId14"/>
    <sheet name="Chapter 19" sheetId="25" r:id="rId15"/>
    <sheet name="Chapter 20" sheetId="63429" r:id="rId16"/>
    <sheet name="Chapter 22 " sheetId="29" r:id="rId17"/>
    <sheet name="Chapter 23" sheetId="30" r:id="rId18"/>
    <sheet name="Chapter 24" sheetId="41" r:id="rId19"/>
    <sheet name=" Chapter 25" sheetId="51" r:id="rId20"/>
    <sheet name=" Chapter 26" sheetId="31" r:id="rId21"/>
    <sheet name="Chapter 27" sheetId="22" r:id="rId22"/>
    <sheet name="Chapter 28" sheetId="21" r:id="rId23"/>
    <sheet name=" Chapter 29" sheetId="26" r:id="rId24"/>
    <sheet name="Chapter 30" sheetId="23" r:id="rId25"/>
    <sheet name="Chapter 31" sheetId="37" r:id="rId26"/>
    <sheet name="Chapter 32" sheetId="52" r:id="rId27"/>
    <sheet name=" Chapter 33" sheetId="32" r:id="rId28"/>
    <sheet name="Chapter 34" sheetId="33" r:id="rId29"/>
    <sheet name="Chapter 35" sheetId="34" r:id="rId30"/>
    <sheet name="Chapter 36" sheetId="43" r:id="rId31"/>
    <sheet name="Chapter 37" sheetId="35" r:id="rId32"/>
    <sheet name=" Chapter 38" sheetId="36" r:id="rId33"/>
    <sheet name="Chapter 40" sheetId="63431" r:id="rId34"/>
    <sheet name="Chapter 45" sheetId="39" r:id="rId35"/>
    <sheet name="Chapter 47" sheetId="47" r:id="rId36"/>
    <sheet name=" Chapter 48" sheetId="63430" r:id="rId37"/>
    <sheet name=" Chapter 50" sheetId="63428" r:id="rId38"/>
    <sheet name="Chapter 51" sheetId="63432" r:id="rId39"/>
  </sheets>
  <externalReferences>
    <externalReference r:id="rId40"/>
    <externalReference r:id="rId41"/>
  </externalReferences>
  <definedNames>
    <definedName name="IS" localSheetId="38">'[1]Chapitre 15'!$B$133</definedName>
    <definedName name="IS">[2]Non!$B$129</definedName>
    <definedName name="Jours" localSheetId="38">'[1] Chapitre 12'!$D$11</definedName>
    <definedName name="Jours">' Chapter 11'!$D$10</definedName>
    <definedName name="solver_adj" localSheetId="12" hidden="1">'Chapter 17'!$F$177</definedName>
    <definedName name="solver_cvg" localSheetId="12" hidden="1">0.0001</definedName>
    <definedName name="solver_drv" localSheetId="12" hidden="1">1</definedName>
    <definedName name="solver_est" localSheetId="12" hidden="1">1</definedName>
    <definedName name="solver_itr" localSheetId="12" hidden="1">100</definedName>
    <definedName name="solver_lhs1" localSheetId="12" hidden="1">'Chapter 17'!$C$198</definedName>
    <definedName name="solver_lhs2" localSheetId="12" hidden="1">'Chapter 17'!$C$198</definedName>
    <definedName name="solver_lin" localSheetId="12" hidden="1">2</definedName>
    <definedName name="solver_neg" localSheetId="12" hidden="1">2</definedName>
    <definedName name="solver_num" localSheetId="12" hidden="1">2</definedName>
    <definedName name="solver_nwt" localSheetId="12" hidden="1">1</definedName>
    <definedName name="solver_opt" localSheetId="12" hidden="1">'Chapter 17'!$F$177</definedName>
    <definedName name="solver_pre" localSheetId="12" hidden="1">0.000001</definedName>
    <definedName name="solver_rel1" localSheetId="12" hidden="1">2</definedName>
    <definedName name="solver_rel2" localSheetId="12" hidden="1">2</definedName>
    <definedName name="solver_rhs1" localSheetId="12" hidden="1">0</definedName>
    <definedName name="solver_rhs2" localSheetId="12" hidden="1">0</definedName>
    <definedName name="solver_scl" localSheetId="12" hidden="1">2</definedName>
    <definedName name="solver_sho" localSheetId="12" hidden="1">2</definedName>
    <definedName name="solver_tim" localSheetId="12" hidden="1">100</definedName>
    <definedName name="solver_tol" localSheetId="12" hidden="1">0.05</definedName>
    <definedName name="solver_typ" localSheetId="12" hidden="1">1</definedName>
    <definedName name="solver_val" localSheetId="12" hidden="1">0</definedName>
    <definedName name="TVA" localSheetId="38">'[1] Chapitre 12'!$B$65</definedName>
    <definedName name="TVA">' Chapter 11'!$B$64</definedName>
    <definedName name="_xlnm.Print_Area" localSheetId="0">'Chapter 2'!$A$1:$I$39</definedName>
    <definedName name="_xlnm.Print_Area" localSheetId="22">'Chapter 28'!$A:$G</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8" i="21" l="1"/>
  <c r="C11" i="63432"/>
  <c r="C13" i="63432"/>
  <c r="C14" i="63432"/>
  <c r="C15" i="63432"/>
  <c r="C40" i="63432"/>
  <c r="C42" i="63432"/>
  <c r="C57" i="63432"/>
  <c r="I8" i="63432"/>
  <c r="J8" i="63432"/>
  <c r="K8" i="63432"/>
  <c r="L8" i="63432"/>
  <c r="M8" i="63432"/>
  <c r="N8" i="63432"/>
  <c r="O8" i="63432"/>
  <c r="P8" i="63432"/>
  <c r="Q8" i="63432"/>
  <c r="R8" i="63432"/>
  <c r="S8" i="63432"/>
  <c r="T8" i="63432"/>
  <c r="U8" i="63432"/>
  <c r="V8" i="63432"/>
  <c r="I9" i="63432"/>
  <c r="J9" i="63432"/>
  <c r="K9" i="63432"/>
  <c r="L9" i="63432"/>
  <c r="M9" i="63432"/>
  <c r="N9" i="63432"/>
  <c r="O9" i="63432"/>
  <c r="P9" i="63432"/>
  <c r="Q9" i="63432"/>
  <c r="R9" i="63432"/>
  <c r="S9" i="63432"/>
  <c r="T9" i="63432"/>
  <c r="U9" i="63432"/>
  <c r="V9" i="63432"/>
  <c r="I10" i="63432"/>
  <c r="J10" i="63432"/>
  <c r="K10" i="63432"/>
  <c r="L10" i="63432"/>
  <c r="M10" i="63432"/>
  <c r="N10" i="63432"/>
  <c r="O10" i="63432"/>
  <c r="P10" i="63432"/>
  <c r="Q10" i="63432"/>
  <c r="R10" i="63432"/>
  <c r="S10" i="63432"/>
  <c r="T10" i="63432"/>
  <c r="U10" i="63432"/>
  <c r="V10" i="63432"/>
  <c r="I11" i="63432"/>
  <c r="J11" i="63432"/>
  <c r="K11" i="63432"/>
  <c r="L11" i="63432"/>
  <c r="M11" i="63432"/>
  <c r="N11" i="63432"/>
  <c r="O11" i="63432"/>
  <c r="P11" i="63432"/>
  <c r="Q11" i="63432"/>
  <c r="R11" i="63432"/>
  <c r="S11" i="63432"/>
  <c r="T11" i="63432"/>
  <c r="U11" i="63432"/>
  <c r="V11" i="63432"/>
  <c r="I12" i="63432"/>
  <c r="J12" i="63432"/>
  <c r="K12" i="63432"/>
  <c r="L12" i="63432"/>
  <c r="M12" i="63432"/>
  <c r="N12" i="63432"/>
  <c r="O12" i="63432"/>
  <c r="P12" i="63432"/>
  <c r="Q12" i="63432"/>
  <c r="R12" i="63432"/>
  <c r="S12" i="63432"/>
  <c r="T12" i="63432"/>
  <c r="U12" i="63432"/>
  <c r="V12" i="63432"/>
  <c r="D13" i="63432"/>
  <c r="E13" i="63432"/>
  <c r="F13" i="63432"/>
  <c r="G13" i="63432"/>
  <c r="H13" i="63432"/>
  <c r="I13" i="63432"/>
  <c r="J13" i="63432"/>
  <c r="K13" i="63432"/>
  <c r="L13" i="63432"/>
  <c r="M13" i="63432"/>
  <c r="N13" i="63432"/>
  <c r="O13" i="63432"/>
  <c r="P13" i="63432"/>
  <c r="Q13" i="63432"/>
  <c r="R13" i="63432"/>
  <c r="S13" i="63432"/>
  <c r="T13" i="63432"/>
  <c r="U13" i="63432"/>
  <c r="V13" i="63432"/>
  <c r="D14" i="63432"/>
  <c r="E14" i="63432"/>
  <c r="F14" i="63432"/>
  <c r="G14" i="63432"/>
  <c r="H14" i="63432"/>
  <c r="I14" i="63432"/>
  <c r="J14" i="63432"/>
  <c r="K14" i="63432"/>
  <c r="L14" i="63432"/>
  <c r="M14" i="63432"/>
  <c r="N14" i="63432"/>
  <c r="O14" i="63432"/>
  <c r="P14" i="63432"/>
  <c r="Q14" i="63432"/>
  <c r="S14" i="63432"/>
  <c r="T14" i="63432"/>
  <c r="U14" i="63432"/>
  <c r="V14" i="63432"/>
  <c r="D15" i="63432"/>
  <c r="E15" i="63432"/>
  <c r="F15" i="63432"/>
  <c r="G15" i="63432"/>
  <c r="H15" i="63432"/>
  <c r="I15" i="63432"/>
  <c r="J15" i="63432"/>
  <c r="K15" i="63432"/>
  <c r="L15" i="63432"/>
  <c r="M15" i="63432"/>
  <c r="N15" i="63432"/>
  <c r="O15" i="63432"/>
  <c r="P15" i="63432"/>
  <c r="Q15" i="63432"/>
  <c r="R15" i="63432"/>
  <c r="S15" i="63432"/>
  <c r="T15" i="63432"/>
  <c r="U15" i="63432"/>
  <c r="V15" i="63432"/>
  <c r="B30" i="63432"/>
  <c r="C16" i="63432"/>
  <c r="D16" i="63432"/>
  <c r="E16" i="63432"/>
  <c r="F16" i="63432"/>
  <c r="G16" i="63432"/>
  <c r="H16" i="63432"/>
  <c r="I16" i="63432"/>
  <c r="J16" i="63432"/>
  <c r="K16" i="63432"/>
  <c r="L16" i="63432"/>
  <c r="C17" i="63432"/>
  <c r="D17" i="63432"/>
  <c r="E17" i="63432"/>
  <c r="F17" i="63432"/>
  <c r="G17" i="63432"/>
  <c r="H17" i="63432"/>
  <c r="I17" i="63432"/>
  <c r="J17" i="63432"/>
  <c r="K17" i="63432"/>
  <c r="L17" i="63432"/>
  <c r="M17" i="63432"/>
  <c r="N17" i="63432"/>
  <c r="O17" i="63432"/>
  <c r="P17" i="63432"/>
  <c r="Q17" i="63432"/>
  <c r="R17" i="63432"/>
  <c r="S17" i="63432"/>
  <c r="T17" i="63432"/>
  <c r="U17" i="63432"/>
  <c r="V17" i="63432"/>
  <c r="C18" i="63432"/>
  <c r="D18" i="63432"/>
  <c r="E18" i="63432"/>
  <c r="F18" i="63432"/>
  <c r="G18" i="63432"/>
  <c r="H18" i="63432"/>
  <c r="I18" i="63432"/>
  <c r="J18" i="63432"/>
  <c r="K18" i="63432"/>
  <c r="L18" i="63432"/>
  <c r="M18" i="63432"/>
  <c r="N18" i="63432"/>
  <c r="O18" i="63432"/>
  <c r="P18" i="63432"/>
  <c r="Q18" i="63432"/>
  <c r="R18" i="63432"/>
  <c r="S18" i="63432"/>
  <c r="T18" i="63432"/>
  <c r="U18" i="63432"/>
  <c r="V18" i="63432"/>
  <c r="B24" i="63432"/>
  <c r="C24" i="63432"/>
  <c r="D24" i="63432"/>
  <c r="E24" i="63432"/>
  <c r="F24" i="63432"/>
  <c r="G24" i="63432"/>
  <c r="H24" i="63432"/>
  <c r="I24" i="63432"/>
  <c r="J24" i="63432"/>
  <c r="K24" i="63432"/>
  <c r="L24" i="63432"/>
  <c r="M24" i="63432"/>
  <c r="N24" i="63432"/>
  <c r="O24" i="63432"/>
  <c r="P24" i="63432"/>
  <c r="Q24" i="63432"/>
  <c r="R24" i="63432"/>
  <c r="S24" i="63432"/>
  <c r="T24" i="63432"/>
  <c r="U24" i="63432"/>
  <c r="V24" i="63432"/>
  <c r="C26" i="63432"/>
  <c r="D26" i="63432"/>
  <c r="E26" i="63432"/>
  <c r="F26" i="63432"/>
  <c r="G26" i="63432"/>
  <c r="H26" i="63432"/>
  <c r="I26" i="63432"/>
  <c r="J26" i="63432"/>
  <c r="K26" i="63432"/>
  <c r="L26" i="63432"/>
  <c r="M26" i="63432"/>
  <c r="N26" i="63432"/>
  <c r="O26" i="63432"/>
  <c r="P26" i="63432"/>
  <c r="Q26" i="63432"/>
  <c r="R26" i="63432"/>
  <c r="S26" i="63432"/>
  <c r="T26" i="63432"/>
  <c r="U26" i="63432"/>
  <c r="V26" i="63432"/>
  <c r="B28" i="63432"/>
  <c r="C28" i="63432"/>
  <c r="D28" i="63432"/>
  <c r="E28" i="63432"/>
  <c r="F28" i="63432"/>
  <c r="G28" i="63432"/>
  <c r="H28" i="63432"/>
  <c r="I28" i="63432"/>
  <c r="J28" i="63432"/>
  <c r="K28" i="63432"/>
  <c r="L28" i="63432"/>
  <c r="M28" i="63432"/>
  <c r="N28" i="63432"/>
  <c r="O28" i="63432"/>
  <c r="P28" i="63432"/>
  <c r="Q28" i="63432"/>
  <c r="R28" i="63432"/>
  <c r="S28" i="63432"/>
  <c r="T28" i="63432"/>
  <c r="U28" i="63432"/>
  <c r="V28" i="63432"/>
  <c r="C29" i="63432"/>
  <c r="D29" i="63432"/>
  <c r="E29" i="63432"/>
  <c r="F29" i="63432"/>
  <c r="G29" i="63432"/>
  <c r="H29" i="63432"/>
  <c r="I29" i="63432"/>
  <c r="J29" i="63432"/>
  <c r="K29" i="63432"/>
  <c r="L29" i="63432"/>
  <c r="M29" i="63432"/>
  <c r="N29" i="63432"/>
  <c r="O29" i="63432"/>
  <c r="P29" i="63432"/>
  <c r="Q29" i="63432"/>
  <c r="R29" i="63432"/>
  <c r="S29" i="63432"/>
  <c r="T29" i="63432"/>
  <c r="U29" i="63432"/>
  <c r="V29" i="63432"/>
  <c r="C39" i="63432"/>
  <c r="C41" i="63432"/>
  <c r="C43" i="63432"/>
  <c r="C45" i="63432"/>
  <c r="C46" i="63432"/>
  <c r="C30" i="63432"/>
  <c r="D40" i="63432"/>
  <c r="D39" i="63432"/>
  <c r="D41" i="63432"/>
  <c r="D42" i="63432"/>
  <c r="D43" i="63432"/>
  <c r="D45" i="63432"/>
  <c r="D46" i="63432"/>
  <c r="D30" i="63432"/>
  <c r="E40" i="63432"/>
  <c r="E39" i="63432"/>
  <c r="E41" i="63432"/>
  <c r="E42" i="63432"/>
  <c r="E43" i="63432"/>
  <c r="E45" i="63432"/>
  <c r="E46" i="63432"/>
  <c r="E30" i="63432"/>
  <c r="F40" i="63432"/>
  <c r="F39" i="63432"/>
  <c r="F41" i="63432"/>
  <c r="F42" i="63432"/>
  <c r="F43" i="63432"/>
  <c r="F45" i="63432"/>
  <c r="F46" i="63432"/>
  <c r="F30" i="63432"/>
  <c r="G40" i="63432"/>
  <c r="G39" i="63432"/>
  <c r="G41" i="63432"/>
  <c r="G42" i="63432"/>
  <c r="G43" i="63432"/>
  <c r="G45" i="63432"/>
  <c r="G46" i="63432"/>
  <c r="G30" i="63432"/>
  <c r="H40" i="63432"/>
  <c r="H39" i="63432"/>
  <c r="H41" i="63432"/>
  <c r="H42" i="63432"/>
  <c r="H43" i="63432"/>
  <c r="H45" i="63432"/>
  <c r="H46" i="63432"/>
  <c r="H30" i="63432"/>
  <c r="I40" i="63432"/>
  <c r="I39" i="63432"/>
  <c r="I41" i="63432"/>
  <c r="I42" i="63432"/>
  <c r="I43" i="63432"/>
  <c r="I45" i="63432"/>
  <c r="I46" i="63432"/>
  <c r="I30" i="63432"/>
  <c r="J40" i="63432"/>
  <c r="J39" i="63432"/>
  <c r="J41" i="63432"/>
  <c r="J42" i="63432"/>
  <c r="J43" i="63432"/>
  <c r="J45" i="63432"/>
  <c r="J46" i="63432"/>
  <c r="J30" i="63432"/>
  <c r="K40" i="63432"/>
  <c r="K39" i="63432"/>
  <c r="K41" i="63432"/>
  <c r="K42" i="63432"/>
  <c r="K43" i="63432"/>
  <c r="K45" i="63432"/>
  <c r="K46" i="63432"/>
  <c r="K30" i="63432"/>
  <c r="L40" i="63432"/>
  <c r="L39" i="63432"/>
  <c r="L41" i="63432"/>
  <c r="L42" i="63432"/>
  <c r="L43" i="63432"/>
  <c r="L45" i="63432"/>
  <c r="L46" i="63432"/>
  <c r="L30" i="63432"/>
  <c r="M40" i="63432"/>
  <c r="M39" i="63432"/>
  <c r="M41" i="63432"/>
  <c r="M42" i="63432"/>
  <c r="M43" i="63432"/>
  <c r="M45" i="63432"/>
  <c r="M46" i="63432"/>
  <c r="M30" i="63432"/>
  <c r="N40" i="63432"/>
  <c r="N39" i="63432"/>
  <c r="N41" i="63432"/>
  <c r="N42" i="63432"/>
  <c r="N43" i="63432"/>
  <c r="N45" i="63432"/>
  <c r="N46" i="63432"/>
  <c r="N30" i="63432"/>
  <c r="O40" i="63432"/>
  <c r="O39" i="63432"/>
  <c r="O41" i="63432"/>
  <c r="O42" i="63432"/>
  <c r="O43" i="63432"/>
  <c r="O45" i="63432"/>
  <c r="O46" i="63432"/>
  <c r="O30" i="63432"/>
  <c r="P40" i="63432"/>
  <c r="P39" i="63432"/>
  <c r="P41" i="63432"/>
  <c r="P42" i="63432"/>
  <c r="P43" i="63432"/>
  <c r="P45" i="63432"/>
  <c r="P46" i="63432"/>
  <c r="P30" i="63432"/>
  <c r="Q40" i="63432"/>
  <c r="Q39" i="63432"/>
  <c r="Q41" i="63432"/>
  <c r="Q42" i="63432"/>
  <c r="Q43" i="63432"/>
  <c r="Q45" i="63432"/>
  <c r="Q46" i="63432"/>
  <c r="Q30" i="63432"/>
  <c r="R40" i="63432"/>
  <c r="R39" i="63432"/>
  <c r="R41" i="63432"/>
  <c r="R42" i="63432"/>
  <c r="R43" i="63432"/>
  <c r="R45" i="63432"/>
  <c r="R46" i="63432"/>
  <c r="R30" i="63432"/>
  <c r="S40" i="63432"/>
  <c r="S39" i="63432"/>
  <c r="S41" i="63432"/>
  <c r="S42" i="63432"/>
  <c r="S43" i="63432"/>
  <c r="S45" i="63432"/>
  <c r="S46" i="63432"/>
  <c r="S30" i="63432"/>
  <c r="T40" i="63432"/>
  <c r="T39" i="63432"/>
  <c r="T41" i="63432"/>
  <c r="T42" i="63432"/>
  <c r="T43" i="63432"/>
  <c r="T45" i="63432"/>
  <c r="T46" i="63432"/>
  <c r="T30" i="63432"/>
  <c r="U40" i="63432"/>
  <c r="U39" i="63432"/>
  <c r="U41" i="63432"/>
  <c r="U42" i="63432"/>
  <c r="U43" i="63432"/>
  <c r="U45" i="63432"/>
  <c r="U46" i="63432"/>
  <c r="U30" i="63432"/>
  <c r="V40" i="63432"/>
  <c r="V39" i="63432"/>
  <c r="V41" i="63432"/>
  <c r="V42" i="63432"/>
  <c r="V43" i="63432"/>
  <c r="V45" i="63432"/>
  <c r="V46" i="63432"/>
  <c r="V30" i="63432"/>
  <c r="B31" i="63432"/>
  <c r="C31" i="63432"/>
  <c r="D31" i="63432"/>
  <c r="E31" i="63432"/>
  <c r="F31" i="63432"/>
  <c r="G31" i="63432"/>
  <c r="H31" i="63432"/>
  <c r="I31" i="63432"/>
  <c r="J31" i="63432"/>
  <c r="K31" i="63432"/>
  <c r="L31" i="63432"/>
  <c r="M31" i="63432"/>
  <c r="N31" i="63432"/>
  <c r="O31" i="63432"/>
  <c r="P31" i="63432"/>
  <c r="Q31" i="63432"/>
  <c r="R31" i="63432"/>
  <c r="S31" i="63432"/>
  <c r="T31" i="63432"/>
  <c r="U31" i="63432"/>
  <c r="V31" i="63432"/>
  <c r="IV31" i="63432"/>
  <c r="B37" i="63432"/>
  <c r="C37" i="63432"/>
  <c r="D37" i="63432"/>
  <c r="E37" i="63432"/>
  <c r="F37" i="63432"/>
  <c r="G37" i="63432"/>
  <c r="H37" i="63432"/>
  <c r="I37" i="63432"/>
  <c r="J37" i="63432"/>
  <c r="K37" i="63432"/>
  <c r="L37" i="63432"/>
  <c r="M37" i="63432"/>
  <c r="N37" i="63432"/>
  <c r="O37" i="63432"/>
  <c r="P37" i="63432"/>
  <c r="Q37" i="63432"/>
  <c r="R37" i="63432"/>
  <c r="S37" i="63432"/>
  <c r="T37" i="63432"/>
  <c r="U37" i="63432"/>
  <c r="V37" i="63432"/>
  <c r="B44" i="63432"/>
  <c r="B45" i="63432"/>
  <c r="B46" i="63432"/>
  <c r="B57" i="63432"/>
  <c r="D57" i="63432"/>
  <c r="E57" i="63432"/>
  <c r="F57" i="63432"/>
  <c r="G57" i="63432"/>
  <c r="H57" i="63432"/>
  <c r="I57" i="63432"/>
  <c r="J57" i="63432"/>
  <c r="K57" i="63432"/>
  <c r="L57" i="63432"/>
  <c r="M57" i="63432"/>
  <c r="N57" i="63432"/>
  <c r="O57" i="63432"/>
  <c r="P57" i="63432"/>
  <c r="Q57" i="63432"/>
  <c r="R57" i="63432"/>
  <c r="S57" i="63432"/>
  <c r="T57" i="63432"/>
  <c r="U57" i="63432"/>
  <c r="V57" i="63432"/>
  <c r="B59" i="63432"/>
  <c r="B63" i="63432"/>
  <c r="C63" i="63432"/>
  <c r="D63" i="63432"/>
  <c r="E63" i="63432"/>
  <c r="F63" i="63432"/>
  <c r="G63" i="63432"/>
  <c r="H63" i="63432"/>
  <c r="I63" i="63432"/>
  <c r="J63" i="63432"/>
  <c r="K63" i="63432"/>
  <c r="L63" i="63432"/>
  <c r="M63" i="63432"/>
  <c r="N63" i="63432"/>
  <c r="O63" i="63432"/>
  <c r="P63" i="63432"/>
  <c r="Q63" i="63432"/>
  <c r="R63" i="63432"/>
  <c r="S63" i="63432"/>
  <c r="T63" i="63432"/>
  <c r="U63" i="63432"/>
  <c r="V63" i="63432"/>
  <c r="B65" i="63432"/>
  <c r="I81" i="63432"/>
  <c r="J81" i="63432"/>
  <c r="K81" i="63432"/>
  <c r="L81" i="63432"/>
  <c r="M81" i="63432"/>
  <c r="N81" i="63432"/>
  <c r="O81" i="63432"/>
  <c r="P81" i="63432"/>
  <c r="Q81" i="63432"/>
  <c r="R81" i="63432"/>
  <c r="S81" i="63432"/>
  <c r="T81" i="63432"/>
  <c r="U81" i="63432"/>
  <c r="V81" i="63432"/>
  <c r="I82" i="63432"/>
  <c r="J82" i="63432"/>
  <c r="K82" i="63432"/>
  <c r="L82" i="63432"/>
  <c r="M82" i="63432"/>
  <c r="N82" i="63432"/>
  <c r="O82" i="63432"/>
  <c r="P82" i="63432"/>
  <c r="Q82" i="63432"/>
  <c r="R82" i="63432"/>
  <c r="S82" i="63432"/>
  <c r="T82" i="63432"/>
  <c r="U82" i="63432"/>
  <c r="V82" i="63432"/>
  <c r="I83" i="63432"/>
  <c r="J83" i="63432"/>
  <c r="K83" i="63432"/>
  <c r="L83" i="63432"/>
  <c r="M83" i="63432"/>
  <c r="N83" i="63432"/>
  <c r="O83" i="63432"/>
  <c r="P83" i="63432"/>
  <c r="Q83" i="63432"/>
  <c r="R83" i="63432"/>
  <c r="S83" i="63432"/>
  <c r="T83" i="63432"/>
  <c r="U83" i="63432"/>
  <c r="V83" i="63432"/>
  <c r="C84" i="63432"/>
  <c r="I84" i="63432"/>
  <c r="J84" i="63432"/>
  <c r="K84" i="63432"/>
  <c r="L84" i="63432"/>
  <c r="M84" i="63432"/>
  <c r="N84" i="63432"/>
  <c r="O84" i="63432"/>
  <c r="P84" i="63432"/>
  <c r="Q84" i="63432"/>
  <c r="R84" i="63432"/>
  <c r="S84" i="63432"/>
  <c r="T84" i="63432"/>
  <c r="U84" i="63432"/>
  <c r="V84" i="63432"/>
  <c r="C86" i="63432"/>
  <c r="D86" i="63432"/>
  <c r="E86" i="63432"/>
  <c r="F86" i="63432"/>
  <c r="G86" i="63432"/>
  <c r="H86" i="63432"/>
  <c r="I86" i="63432"/>
  <c r="J86" i="63432"/>
  <c r="K86" i="63432"/>
  <c r="L86" i="63432"/>
  <c r="M86" i="63432"/>
  <c r="N86" i="63432"/>
  <c r="O86" i="63432"/>
  <c r="P86" i="63432"/>
  <c r="Q86" i="63432"/>
  <c r="R86" i="63432"/>
  <c r="S86" i="63432"/>
  <c r="T86" i="63432"/>
  <c r="U86" i="63432"/>
  <c r="V86" i="63432"/>
  <c r="D87" i="63432"/>
  <c r="E87" i="63432"/>
  <c r="F87" i="63432"/>
  <c r="G87" i="63432"/>
  <c r="H87" i="63432"/>
  <c r="I87" i="63432"/>
  <c r="J87" i="63432"/>
  <c r="K87" i="63432"/>
  <c r="L87" i="63432"/>
  <c r="M87" i="63432"/>
  <c r="N87" i="63432"/>
  <c r="O87" i="63432"/>
  <c r="P87" i="63432"/>
  <c r="Q87" i="63432"/>
  <c r="S87" i="63432"/>
  <c r="T87" i="63432"/>
  <c r="U87" i="63432"/>
  <c r="V87" i="63432"/>
  <c r="C88" i="63432"/>
  <c r="D88" i="63432"/>
  <c r="E88" i="63432"/>
  <c r="F88" i="63432"/>
  <c r="G88" i="63432"/>
  <c r="H88" i="63432"/>
  <c r="I88" i="63432"/>
  <c r="J88" i="63432"/>
  <c r="K88" i="63432"/>
  <c r="L88" i="63432"/>
  <c r="M88" i="63432"/>
  <c r="N88" i="63432"/>
  <c r="O88" i="63432"/>
  <c r="P88" i="63432"/>
  <c r="Q88" i="63432"/>
  <c r="R88" i="63432"/>
  <c r="S88" i="63432"/>
  <c r="T88" i="63432"/>
  <c r="U88" i="63432"/>
  <c r="V88" i="63432"/>
  <c r="C89" i="63432"/>
  <c r="D89" i="63432"/>
  <c r="E89" i="63432"/>
  <c r="F89" i="63432"/>
  <c r="G89" i="63432"/>
  <c r="H89" i="63432"/>
  <c r="I89" i="63432"/>
  <c r="J89" i="63432"/>
  <c r="K89" i="63432"/>
  <c r="L89" i="63432"/>
  <c r="C90" i="63432"/>
  <c r="D90" i="63432"/>
  <c r="E90" i="63432"/>
  <c r="F90" i="63432"/>
  <c r="G90" i="63432"/>
  <c r="H90" i="63432"/>
  <c r="I90" i="63432"/>
  <c r="J90" i="63432"/>
  <c r="K90" i="63432"/>
  <c r="L90" i="63432"/>
  <c r="M90" i="63432"/>
  <c r="N90" i="63432"/>
  <c r="O90" i="63432"/>
  <c r="P90" i="63432"/>
  <c r="Q90" i="63432"/>
  <c r="R90" i="63432"/>
  <c r="S90" i="63432"/>
  <c r="T90" i="63432"/>
  <c r="U90" i="63432"/>
  <c r="V90" i="63432"/>
  <c r="C91" i="63432"/>
  <c r="D91" i="63432"/>
  <c r="E91" i="63432"/>
  <c r="F91" i="63432"/>
  <c r="G91" i="63432"/>
  <c r="H91" i="63432"/>
  <c r="I91" i="63432"/>
  <c r="J91" i="63432"/>
  <c r="K91" i="63432"/>
  <c r="L91" i="63432"/>
  <c r="M91" i="63432"/>
  <c r="N91" i="63432"/>
  <c r="O91" i="63432"/>
  <c r="P91" i="63432"/>
  <c r="Q91" i="63432"/>
  <c r="R91" i="63432"/>
  <c r="S91" i="63432"/>
  <c r="T91" i="63432"/>
  <c r="U91" i="63432"/>
  <c r="V91" i="63432"/>
  <c r="B97" i="63432"/>
  <c r="C97" i="63432"/>
  <c r="D97" i="63432"/>
  <c r="E97" i="63432"/>
  <c r="F97" i="63432"/>
  <c r="G97" i="63432"/>
  <c r="H97" i="63432"/>
  <c r="I97" i="63432"/>
  <c r="J97" i="63432"/>
  <c r="K97" i="63432"/>
  <c r="L97" i="63432"/>
  <c r="M97" i="63432"/>
  <c r="N97" i="63432"/>
  <c r="O97" i="63432"/>
  <c r="P97" i="63432"/>
  <c r="Q97" i="63432"/>
  <c r="R97" i="63432"/>
  <c r="S97" i="63432"/>
  <c r="T97" i="63432"/>
  <c r="U97" i="63432"/>
  <c r="V97" i="63432"/>
  <c r="C99" i="63432"/>
  <c r="D99" i="63432"/>
  <c r="E99" i="63432"/>
  <c r="F99" i="63432"/>
  <c r="G99" i="63432"/>
  <c r="H99" i="63432"/>
  <c r="I99" i="63432"/>
  <c r="J99" i="63432"/>
  <c r="K99" i="63432"/>
  <c r="L99" i="63432"/>
  <c r="M99" i="63432"/>
  <c r="N99" i="63432"/>
  <c r="O99" i="63432"/>
  <c r="P99" i="63432"/>
  <c r="Q99" i="63432"/>
  <c r="R99" i="63432"/>
  <c r="S99" i="63432"/>
  <c r="T99" i="63432"/>
  <c r="U99" i="63432"/>
  <c r="V99" i="63432"/>
  <c r="B101" i="63432"/>
  <c r="C101" i="63432"/>
  <c r="D101" i="63432"/>
  <c r="E101" i="63432"/>
  <c r="F101" i="63432"/>
  <c r="G101" i="63432"/>
  <c r="H101" i="63432"/>
  <c r="I101" i="63432"/>
  <c r="J101" i="63432"/>
  <c r="K101" i="63432"/>
  <c r="L101" i="63432"/>
  <c r="M101" i="63432"/>
  <c r="N101" i="63432"/>
  <c r="O101" i="63432"/>
  <c r="P101" i="63432"/>
  <c r="Q101" i="63432"/>
  <c r="R101" i="63432"/>
  <c r="S101" i="63432"/>
  <c r="T101" i="63432"/>
  <c r="U101" i="63432"/>
  <c r="V101" i="63432"/>
  <c r="C102" i="63432"/>
  <c r="D102" i="63432"/>
  <c r="E102" i="63432"/>
  <c r="F102" i="63432"/>
  <c r="G102" i="63432"/>
  <c r="H102" i="63432"/>
  <c r="I102" i="63432"/>
  <c r="J102" i="63432"/>
  <c r="K102" i="63432"/>
  <c r="L102" i="63432"/>
  <c r="M102" i="63432"/>
  <c r="N102" i="63432"/>
  <c r="O102" i="63432"/>
  <c r="P102" i="63432"/>
  <c r="Q102" i="63432"/>
  <c r="R102" i="63432"/>
  <c r="S102" i="63432"/>
  <c r="T102" i="63432"/>
  <c r="U102" i="63432"/>
  <c r="V102" i="63432"/>
  <c r="B103" i="63432"/>
  <c r="C113" i="63432"/>
  <c r="C112" i="63432"/>
  <c r="C114" i="63432"/>
  <c r="C115" i="63432"/>
  <c r="C116" i="63432"/>
  <c r="C118" i="63432"/>
  <c r="C119" i="63432"/>
  <c r="C103" i="63432"/>
  <c r="D113" i="63432"/>
  <c r="D112" i="63432"/>
  <c r="D114" i="63432"/>
  <c r="D115" i="63432"/>
  <c r="D116" i="63432"/>
  <c r="D118" i="63432"/>
  <c r="D119" i="63432"/>
  <c r="D103" i="63432"/>
  <c r="E113" i="63432"/>
  <c r="E112" i="63432"/>
  <c r="E114" i="63432"/>
  <c r="E115" i="63432"/>
  <c r="E116" i="63432"/>
  <c r="E118" i="63432"/>
  <c r="E119" i="63432"/>
  <c r="E103" i="63432"/>
  <c r="F113" i="63432"/>
  <c r="F112" i="63432"/>
  <c r="F114" i="63432"/>
  <c r="F115" i="63432"/>
  <c r="F116" i="63432"/>
  <c r="F118" i="63432"/>
  <c r="F119" i="63432"/>
  <c r="F103" i="63432"/>
  <c r="G113" i="63432"/>
  <c r="G112" i="63432"/>
  <c r="G114" i="63432"/>
  <c r="G115" i="63432"/>
  <c r="G116" i="63432"/>
  <c r="G118" i="63432"/>
  <c r="G119" i="63432"/>
  <c r="G103" i="63432"/>
  <c r="H113" i="63432"/>
  <c r="H112" i="63432"/>
  <c r="H114" i="63432"/>
  <c r="H115" i="63432"/>
  <c r="H116" i="63432"/>
  <c r="H118" i="63432"/>
  <c r="H119" i="63432"/>
  <c r="H103" i="63432"/>
  <c r="I113" i="63432"/>
  <c r="I112" i="63432"/>
  <c r="I114" i="63432"/>
  <c r="I115" i="63432"/>
  <c r="I116" i="63432"/>
  <c r="I118" i="63432"/>
  <c r="I119" i="63432"/>
  <c r="I103" i="63432"/>
  <c r="J113" i="63432"/>
  <c r="J112" i="63432"/>
  <c r="J114" i="63432"/>
  <c r="J115" i="63432"/>
  <c r="J116" i="63432"/>
  <c r="J118" i="63432"/>
  <c r="J119" i="63432"/>
  <c r="J103" i="63432"/>
  <c r="K113" i="63432"/>
  <c r="K112" i="63432"/>
  <c r="K114" i="63432"/>
  <c r="K115" i="63432"/>
  <c r="K116" i="63432"/>
  <c r="K118" i="63432"/>
  <c r="K119" i="63432"/>
  <c r="K103" i="63432"/>
  <c r="L113" i="63432"/>
  <c r="L112" i="63432"/>
  <c r="L114" i="63432"/>
  <c r="L115" i="63432"/>
  <c r="L116" i="63432"/>
  <c r="L118" i="63432"/>
  <c r="L119" i="63432"/>
  <c r="L103" i="63432"/>
  <c r="M113" i="63432"/>
  <c r="M112" i="63432"/>
  <c r="M114" i="63432"/>
  <c r="M115" i="63432"/>
  <c r="M116" i="63432"/>
  <c r="M118" i="63432"/>
  <c r="M119" i="63432"/>
  <c r="M103" i="63432"/>
  <c r="N113" i="63432"/>
  <c r="N112" i="63432"/>
  <c r="N114" i="63432"/>
  <c r="N115" i="63432"/>
  <c r="N116" i="63432"/>
  <c r="N118" i="63432"/>
  <c r="N119" i="63432"/>
  <c r="N103" i="63432"/>
  <c r="O113" i="63432"/>
  <c r="O112" i="63432"/>
  <c r="O114" i="63432"/>
  <c r="O115" i="63432"/>
  <c r="O116" i="63432"/>
  <c r="O118" i="63432"/>
  <c r="O119" i="63432"/>
  <c r="O103" i="63432"/>
  <c r="P113" i="63432"/>
  <c r="P112" i="63432"/>
  <c r="P114" i="63432"/>
  <c r="P115" i="63432"/>
  <c r="P116" i="63432"/>
  <c r="P118" i="63432"/>
  <c r="P119" i="63432"/>
  <c r="P103" i="63432"/>
  <c r="Q113" i="63432"/>
  <c r="Q112" i="63432"/>
  <c r="Q114" i="63432"/>
  <c r="Q115" i="63432"/>
  <c r="Q116" i="63432"/>
  <c r="Q118" i="63432"/>
  <c r="Q119" i="63432"/>
  <c r="Q103" i="63432"/>
  <c r="R113" i="63432"/>
  <c r="R112" i="63432"/>
  <c r="R114" i="63432"/>
  <c r="R115" i="63432"/>
  <c r="R116" i="63432"/>
  <c r="R118" i="63432"/>
  <c r="R119" i="63432"/>
  <c r="R103" i="63432"/>
  <c r="S113" i="63432"/>
  <c r="S112" i="63432"/>
  <c r="S114" i="63432"/>
  <c r="S115" i="63432"/>
  <c r="S116" i="63432"/>
  <c r="S118" i="63432"/>
  <c r="S119" i="63432"/>
  <c r="S103" i="63432"/>
  <c r="T113" i="63432"/>
  <c r="T112" i="63432"/>
  <c r="T114" i="63432"/>
  <c r="T115" i="63432"/>
  <c r="T116" i="63432"/>
  <c r="T118" i="63432"/>
  <c r="T119" i="63432"/>
  <c r="T103" i="63432"/>
  <c r="U113" i="63432"/>
  <c r="U112" i="63432"/>
  <c r="U114" i="63432"/>
  <c r="U115" i="63432"/>
  <c r="U116" i="63432"/>
  <c r="U118" i="63432"/>
  <c r="U119" i="63432"/>
  <c r="U103" i="63432"/>
  <c r="V113" i="63432"/>
  <c r="V112" i="63432"/>
  <c r="V114" i="63432"/>
  <c r="V115" i="63432"/>
  <c r="V116" i="63432"/>
  <c r="V118" i="63432"/>
  <c r="V119" i="63432"/>
  <c r="V103" i="63432"/>
  <c r="B104" i="63432"/>
  <c r="C104" i="63432"/>
  <c r="D104" i="63432"/>
  <c r="E104" i="63432"/>
  <c r="F104" i="63432"/>
  <c r="G104" i="63432"/>
  <c r="H104" i="63432"/>
  <c r="I104" i="63432"/>
  <c r="J104" i="63432"/>
  <c r="K104" i="63432"/>
  <c r="L104" i="63432"/>
  <c r="M104" i="63432"/>
  <c r="N104" i="63432"/>
  <c r="O104" i="63432"/>
  <c r="P104" i="63432"/>
  <c r="Q104" i="63432"/>
  <c r="R104" i="63432"/>
  <c r="S104" i="63432"/>
  <c r="T104" i="63432"/>
  <c r="U104" i="63432"/>
  <c r="V104" i="63432"/>
  <c r="B110" i="63432"/>
  <c r="C110" i="63432"/>
  <c r="D110" i="63432"/>
  <c r="E110" i="63432"/>
  <c r="F110" i="63432"/>
  <c r="G110" i="63432"/>
  <c r="H110" i="63432"/>
  <c r="I110" i="63432"/>
  <c r="J110" i="63432"/>
  <c r="K110" i="63432"/>
  <c r="L110" i="63432"/>
  <c r="M110" i="63432"/>
  <c r="N110" i="63432"/>
  <c r="O110" i="63432"/>
  <c r="P110" i="63432"/>
  <c r="Q110" i="63432"/>
  <c r="R110" i="63432"/>
  <c r="S110" i="63432"/>
  <c r="T110" i="63432"/>
  <c r="U110" i="63432"/>
  <c r="V110" i="63432"/>
  <c r="B117" i="63432"/>
  <c r="B118" i="63432"/>
  <c r="B119" i="63432"/>
  <c r="B130" i="63432"/>
  <c r="C130" i="63432"/>
  <c r="D130" i="63432"/>
  <c r="E130" i="63432"/>
  <c r="F130" i="63432"/>
  <c r="G130" i="63432"/>
  <c r="H130" i="63432"/>
  <c r="I130" i="63432"/>
  <c r="J130" i="63432"/>
  <c r="K130" i="63432"/>
  <c r="L130" i="63432"/>
  <c r="M130" i="63432"/>
  <c r="N130" i="63432"/>
  <c r="O130" i="63432"/>
  <c r="P130" i="63432"/>
  <c r="Q130" i="63432"/>
  <c r="R130" i="63432"/>
  <c r="S130" i="63432"/>
  <c r="T130" i="63432"/>
  <c r="U130" i="63432"/>
  <c r="V130" i="63432"/>
  <c r="B132" i="63432"/>
  <c r="C3" i="63428"/>
  <c r="B3" i="63428"/>
  <c r="B24" i="63430"/>
  <c r="B25" i="63430"/>
  <c r="B26" i="63430"/>
  <c r="B27" i="63430"/>
  <c r="B13" i="63431"/>
  <c r="B27" i="63431"/>
  <c r="C61" i="63431"/>
  <c r="C62" i="63431"/>
  <c r="B70" i="63431"/>
  <c r="B69" i="63431"/>
  <c r="B65" i="63431"/>
  <c r="D62" i="63431"/>
  <c r="D61" i="63431"/>
  <c r="B61" i="63431"/>
  <c r="B66" i="63431"/>
  <c r="B49" i="63431"/>
  <c r="B44" i="63431"/>
  <c r="B41" i="63431"/>
  <c r="B51" i="63431"/>
  <c r="B50" i="63431"/>
  <c r="B37" i="63431"/>
  <c r="B46" i="63431"/>
  <c r="B36" i="63431"/>
  <c r="B45" i="63431"/>
  <c r="B18" i="63431"/>
  <c r="B19" i="63431"/>
  <c r="B5" i="63431"/>
  <c r="B6" i="63431"/>
  <c r="B70" i="36"/>
  <c r="B64" i="36"/>
  <c r="B72" i="36"/>
  <c r="C44" i="32"/>
  <c r="D44" i="32"/>
  <c r="E44" i="32"/>
  <c r="B14" i="52"/>
  <c r="B15" i="52"/>
  <c r="B60" i="52"/>
  <c r="F40" i="37"/>
  <c r="F23" i="37"/>
  <c r="F41" i="37"/>
  <c r="F42" i="37"/>
  <c r="F43" i="37"/>
  <c r="F45" i="37"/>
  <c r="G45" i="37"/>
  <c r="B29" i="37"/>
  <c r="B30" i="37"/>
  <c r="B33" i="37"/>
  <c r="F46" i="37"/>
  <c r="B10" i="26"/>
  <c r="B28" i="26"/>
  <c r="B29" i="26"/>
  <c r="B31" i="26"/>
  <c r="B20" i="26"/>
  <c r="B22" i="26"/>
  <c r="B30" i="26"/>
  <c r="B33" i="26"/>
  <c r="D227" i="21"/>
  <c r="D228" i="21"/>
  <c r="B227" i="21"/>
  <c r="B228" i="21"/>
  <c r="D229" i="21"/>
  <c r="D230" i="21"/>
  <c r="B229" i="21"/>
  <c r="B230" i="21"/>
  <c r="D231" i="21"/>
  <c r="D237" i="21"/>
  <c r="C227" i="21"/>
  <c r="C237" i="21"/>
  <c r="D238" i="21"/>
  <c r="D240" i="21"/>
  <c r="D235" i="21"/>
  <c r="B235" i="21"/>
  <c r="D236" i="21"/>
  <c r="D241" i="21"/>
  <c r="D244" i="21"/>
  <c r="G264" i="21"/>
  <c r="B13" i="31"/>
  <c r="B14" i="31"/>
  <c r="B15" i="31"/>
  <c r="B16" i="31"/>
  <c r="B17" i="31"/>
  <c r="B9" i="31"/>
  <c r="B18" i="31"/>
  <c r="B19" i="31"/>
  <c r="C13" i="31"/>
  <c r="C14" i="31"/>
  <c r="C12" i="31"/>
  <c r="C15" i="31"/>
  <c r="C16" i="31"/>
  <c r="C17" i="31"/>
  <c r="C9" i="31"/>
  <c r="C18" i="31"/>
  <c r="C19" i="31"/>
  <c r="D19" i="31"/>
  <c r="B17" i="51"/>
  <c r="B8" i="51"/>
  <c r="B14" i="51"/>
  <c r="B18" i="51"/>
  <c r="B19" i="51"/>
  <c r="B41" i="51"/>
  <c r="A41" i="51"/>
  <c r="E35" i="51"/>
  <c r="G35" i="51"/>
  <c r="A34" i="51"/>
  <c r="A18" i="51"/>
  <c r="A17" i="51"/>
  <c r="B12" i="51"/>
  <c r="B10" i="51"/>
  <c r="B23" i="63431"/>
  <c r="B22" i="63431"/>
  <c r="E32" i="29"/>
  <c r="E31" i="29"/>
  <c r="E30" i="29"/>
  <c r="A32" i="29"/>
  <c r="A31" i="29"/>
  <c r="A30" i="29"/>
  <c r="F24" i="29"/>
  <c r="F23" i="29"/>
  <c r="K23" i="29"/>
  <c r="K24" i="29"/>
  <c r="K22" i="29"/>
  <c r="B143" i="20"/>
  <c r="B144" i="20"/>
  <c r="B213" i="57"/>
  <c r="B214" i="57"/>
  <c r="B215" i="57"/>
  <c r="C212" i="57"/>
  <c r="D212" i="57"/>
  <c r="E212" i="57"/>
  <c r="F212" i="57"/>
  <c r="G212" i="57"/>
  <c r="H212" i="57"/>
  <c r="I212" i="57"/>
  <c r="J212" i="57"/>
  <c r="K212" i="57"/>
  <c r="L212" i="57"/>
  <c r="M212" i="57"/>
  <c r="N212" i="57"/>
  <c r="O212" i="57"/>
  <c r="P212" i="57"/>
  <c r="Q212" i="57"/>
  <c r="R212" i="57"/>
  <c r="S212" i="57"/>
  <c r="T212" i="57"/>
  <c r="U212" i="57"/>
  <c r="V212" i="57"/>
  <c r="W212" i="57"/>
  <c r="X212" i="57"/>
  <c r="Y212" i="57"/>
  <c r="Z212" i="57"/>
  <c r="AA212" i="57"/>
  <c r="AB212" i="57"/>
  <c r="AC212" i="57"/>
  <c r="AD212" i="57"/>
  <c r="AE212" i="57"/>
  <c r="AF212" i="57"/>
  <c r="AG212" i="57"/>
  <c r="AH212" i="57"/>
  <c r="AI212" i="57"/>
  <c r="AJ212" i="57"/>
  <c r="AK212" i="57"/>
  <c r="AL212" i="57"/>
  <c r="AM212" i="57"/>
  <c r="AN212" i="57"/>
  <c r="AO212" i="57"/>
  <c r="AP212" i="57"/>
  <c r="B198" i="57"/>
  <c r="C197" i="57"/>
  <c r="D197" i="57"/>
  <c r="E197" i="57"/>
  <c r="F197" i="57"/>
  <c r="G197" i="57"/>
  <c r="H197" i="57"/>
  <c r="I197" i="57"/>
  <c r="J197" i="57"/>
  <c r="K197" i="57"/>
  <c r="L197" i="57"/>
  <c r="M197" i="57"/>
  <c r="N197" i="57"/>
  <c r="O197" i="57"/>
  <c r="P197" i="57"/>
  <c r="Q197" i="57"/>
  <c r="R197" i="57"/>
  <c r="S197" i="57"/>
  <c r="T197" i="57"/>
  <c r="U197" i="57"/>
  <c r="V197" i="57"/>
  <c r="W197" i="57"/>
  <c r="X197" i="57"/>
  <c r="Y197" i="57"/>
  <c r="Z197" i="57"/>
  <c r="AA197" i="57"/>
  <c r="AB197" i="57"/>
  <c r="AC197" i="57"/>
  <c r="AD197" i="57"/>
  <c r="AE197" i="57"/>
  <c r="AF197" i="57"/>
  <c r="AG197" i="57"/>
  <c r="AH197" i="57"/>
  <c r="AI197" i="57"/>
  <c r="AJ197" i="57"/>
  <c r="AK197" i="57"/>
  <c r="AL197" i="57"/>
  <c r="AM197" i="57"/>
  <c r="AN197" i="57"/>
  <c r="AO197" i="57"/>
  <c r="AP197" i="57"/>
  <c r="B77" i="57"/>
  <c r="B79" i="57"/>
  <c r="C98" i="17"/>
  <c r="B98" i="17"/>
  <c r="C89" i="17"/>
  <c r="B89" i="17"/>
  <c r="C85" i="17"/>
  <c r="C90" i="17"/>
  <c r="B85" i="17"/>
  <c r="B90" i="17"/>
  <c r="B75" i="17"/>
  <c r="B77" i="17"/>
  <c r="B69" i="17"/>
  <c r="B92" i="17"/>
  <c r="C75" i="17"/>
  <c r="C77" i="17"/>
  <c r="C69" i="17"/>
  <c r="B46" i="17"/>
  <c r="B52" i="17"/>
  <c r="C46" i="17"/>
  <c r="C52" i="17"/>
  <c r="C93" i="17"/>
  <c r="C81" i="17"/>
  <c r="B81" i="17"/>
  <c r="B35" i="8"/>
  <c r="C2" i="6"/>
  <c r="D2" i="6"/>
  <c r="B14" i="1"/>
  <c r="D27" i="1"/>
  <c r="E27" i="1"/>
  <c r="C33" i="63428"/>
  <c r="B33" i="63428"/>
  <c r="C22" i="63428"/>
  <c r="C31" i="63428"/>
  <c r="B22" i="63428"/>
  <c r="B29" i="63428"/>
  <c r="B31" i="63428"/>
  <c r="B35" i="63428"/>
  <c r="C18" i="63430"/>
  <c r="B73" i="36"/>
  <c r="B76" i="36"/>
  <c r="B77" i="36"/>
  <c r="B9" i="35"/>
  <c r="B8" i="35"/>
  <c r="B7" i="35"/>
  <c r="B21" i="34"/>
  <c r="B18" i="34"/>
  <c r="B19" i="32"/>
  <c r="B21" i="32"/>
  <c r="B123" i="52"/>
  <c r="C136" i="21"/>
  <c r="B69" i="37"/>
  <c r="B83" i="37"/>
  <c r="B13" i="23"/>
  <c r="H6" i="23"/>
  <c r="C6" i="23"/>
  <c r="D5" i="23"/>
  <c r="E5" i="23"/>
  <c r="F5" i="23"/>
  <c r="G5" i="23"/>
  <c r="H5" i="23"/>
  <c r="B64" i="26"/>
  <c r="B27" i="30"/>
  <c r="G31" i="29"/>
  <c r="G32" i="29"/>
  <c r="G30" i="29"/>
  <c r="B11" i="63429"/>
  <c r="C11" i="63429"/>
  <c r="D11" i="63429"/>
  <c r="E11" i="63429"/>
  <c r="F11" i="63429"/>
  <c r="G11" i="63429"/>
  <c r="H11" i="63429"/>
  <c r="I11" i="63429"/>
  <c r="I74" i="63429"/>
  <c r="H74" i="63429"/>
  <c r="G74" i="63429"/>
  <c r="F74" i="63429"/>
  <c r="E74" i="63429"/>
  <c r="D74" i="63429"/>
  <c r="C74" i="63429"/>
  <c r="B74" i="63429"/>
  <c r="B64" i="63429"/>
  <c r="A64" i="63429"/>
  <c r="A65" i="63429"/>
  <c r="A66" i="63429"/>
  <c r="A67" i="63429"/>
  <c r="A68" i="63429"/>
  <c r="A69" i="63429"/>
  <c r="E63" i="63429"/>
  <c r="J48" i="63429"/>
  <c r="I48" i="63429"/>
  <c r="H48" i="63429"/>
  <c r="G48" i="63429"/>
  <c r="F48" i="63429"/>
  <c r="E48" i="63429"/>
  <c r="D48" i="63429"/>
  <c r="C48" i="63429"/>
  <c r="B48" i="63429"/>
  <c r="J45" i="63429"/>
  <c r="I45" i="63429"/>
  <c r="H45" i="63429"/>
  <c r="G45" i="63429"/>
  <c r="F45" i="63429"/>
  <c r="E45" i="63429"/>
  <c r="D45" i="63429"/>
  <c r="C45" i="63429"/>
  <c r="B45" i="63429"/>
  <c r="C13" i="63429"/>
  <c r="C19" i="63429"/>
  <c r="H13" i="63429"/>
  <c r="H22" i="63429"/>
  <c r="G13" i="63429"/>
  <c r="G19" i="63429"/>
  <c r="F13" i="63429"/>
  <c r="F22" i="63429"/>
  <c r="F75" i="63429"/>
  <c r="E13" i="63429"/>
  <c r="E14" i="63429"/>
  <c r="D13" i="63429"/>
  <c r="D19" i="63429"/>
  <c r="C34" i="63429"/>
  <c r="B13" i="63429"/>
  <c r="B22" i="63429"/>
  <c r="B6" i="24"/>
  <c r="B36" i="57"/>
  <c r="B37" i="57"/>
  <c r="B29" i="57"/>
  <c r="D29" i="57"/>
  <c r="B30" i="57"/>
  <c r="D30" i="57"/>
  <c r="C8" i="5"/>
  <c r="F15" i="1"/>
  <c r="B30" i="4"/>
  <c r="D12" i="1"/>
  <c r="E12" i="1"/>
  <c r="F12" i="1"/>
  <c r="G12" i="1"/>
  <c r="C2" i="24"/>
  <c r="D2" i="24"/>
  <c r="E2" i="24"/>
  <c r="F2" i="24"/>
  <c r="G2" i="24"/>
  <c r="H2" i="24"/>
  <c r="I2" i="24"/>
  <c r="J2" i="24"/>
  <c r="K2" i="24"/>
  <c r="L2" i="24"/>
  <c r="M2" i="24"/>
  <c r="N2" i="24"/>
  <c r="C66" i="4"/>
  <c r="D66" i="4"/>
  <c r="P13" i="1"/>
  <c r="Q13" i="1"/>
  <c r="R13" i="1"/>
  <c r="S13" i="1"/>
  <c r="T13" i="1"/>
  <c r="U13" i="1"/>
  <c r="V13" i="1"/>
  <c r="W13" i="1"/>
  <c r="X13" i="1"/>
  <c r="Y13" i="1"/>
  <c r="Z13" i="1"/>
  <c r="AA13" i="1"/>
  <c r="AB13" i="1"/>
  <c r="AC13" i="1"/>
  <c r="AD13" i="1"/>
  <c r="AE13" i="1"/>
  <c r="AF13" i="1"/>
  <c r="AG13" i="1"/>
  <c r="AH13" i="1"/>
  <c r="AI13" i="1"/>
  <c r="AJ13" i="1"/>
  <c r="AK13" i="1"/>
  <c r="AL13" i="1"/>
  <c r="O13" i="1"/>
  <c r="L13" i="1"/>
  <c r="M13" i="1"/>
  <c r="N13" i="1"/>
  <c r="E13" i="1"/>
  <c r="F13" i="1"/>
  <c r="G13" i="1"/>
  <c r="H13" i="1"/>
  <c r="I13" i="1"/>
  <c r="J13" i="1"/>
  <c r="K13" i="1"/>
  <c r="D13" i="1"/>
  <c r="C29" i="63428"/>
  <c r="B4" i="63428"/>
  <c r="D48" i="63428"/>
  <c r="B49" i="63428"/>
  <c r="C6" i="63428"/>
  <c r="C13" i="63428"/>
  <c r="C15" i="63428"/>
  <c r="B11" i="63428"/>
  <c r="B6" i="63428"/>
  <c r="B15" i="63428"/>
  <c r="B55" i="47"/>
  <c r="B56" i="47"/>
  <c r="B57" i="47"/>
  <c r="B64" i="47"/>
  <c r="B83" i="47"/>
  <c r="B84" i="47"/>
  <c r="B76" i="47"/>
  <c r="B77" i="47"/>
  <c r="B78" i="47"/>
  <c r="B79" i="47"/>
  <c r="D79" i="47"/>
  <c r="B39" i="39"/>
  <c r="C27" i="39"/>
  <c r="C29" i="39"/>
  <c r="B27" i="39"/>
  <c r="B29" i="39"/>
  <c r="B30" i="39"/>
  <c r="B18" i="39"/>
  <c r="E17" i="39"/>
  <c r="B124" i="52"/>
  <c r="B118" i="52"/>
  <c r="B125" i="52"/>
  <c r="B127" i="52"/>
  <c r="B119" i="52"/>
  <c r="B129" i="52"/>
  <c r="B130" i="52"/>
  <c r="B131" i="52"/>
  <c r="B64" i="52"/>
  <c r="C64" i="52"/>
  <c r="C66" i="52"/>
  <c r="C14" i="52"/>
  <c r="C15" i="52"/>
  <c r="C68" i="52"/>
  <c r="C16" i="25"/>
  <c r="D16" i="25"/>
  <c r="E16" i="25"/>
  <c r="F16" i="25"/>
  <c r="B16" i="25"/>
  <c r="C10" i="24"/>
  <c r="D10" i="24"/>
  <c r="E10" i="24"/>
  <c r="F10" i="24"/>
  <c r="G10" i="24"/>
  <c r="H10" i="24"/>
  <c r="I10" i="24"/>
  <c r="J10" i="24"/>
  <c r="K10" i="24"/>
  <c r="L10" i="24"/>
  <c r="M10" i="24"/>
  <c r="N10" i="24"/>
  <c r="C11" i="24"/>
  <c r="D11" i="24"/>
  <c r="E11" i="24"/>
  <c r="F11" i="24"/>
  <c r="G11" i="24"/>
  <c r="H11" i="24"/>
  <c r="I11" i="24"/>
  <c r="J11" i="24"/>
  <c r="K11" i="24"/>
  <c r="L11" i="24"/>
  <c r="M11" i="24"/>
  <c r="N11" i="24"/>
  <c r="B174" i="57"/>
  <c r="B32" i="22"/>
  <c r="B31" i="22"/>
  <c r="B270" i="21"/>
  <c r="E227" i="21"/>
  <c r="E228" i="21"/>
  <c r="F227" i="21"/>
  <c r="F228" i="21"/>
  <c r="C19" i="21"/>
  <c r="D19" i="21"/>
  <c r="E19" i="21"/>
  <c r="F19" i="21"/>
  <c r="G19" i="21"/>
  <c r="B178" i="20"/>
  <c r="C178" i="20"/>
  <c r="B179" i="20"/>
  <c r="B180" i="20"/>
  <c r="B181" i="20"/>
  <c r="B182" i="20"/>
  <c r="B183" i="20"/>
  <c r="B184" i="20"/>
  <c r="B185" i="20"/>
  <c r="B186" i="20"/>
  <c r="B187" i="20"/>
  <c r="B188" i="20"/>
  <c r="B189" i="20"/>
  <c r="B190" i="20"/>
  <c r="B191" i="20"/>
  <c r="B192" i="20"/>
  <c r="B193" i="20"/>
  <c r="B194" i="20"/>
  <c r="B195" i="20"/>
  <c r="B196" i="20"/>
  <c r="B197" i="20"/>
  <c r="B198" i="20"/>
  <c r="B102" i="57"/>
  <c r="B103" i="57"/>
  <c r="B104" i="57"/>
  <c r="B105" i="57"/>
  <c r="B101" i="57"/>
  <c r="C14" i="17"/>
  <c r="C16" i="17"/>
  <c r="C15" i="17"/>
  <c r="C19" i="17"/>
  <c r="C2" i="16"/>
  <c r="D2" i="16"/>
  <c r="E2" i="16"/>
  <c r="C40" i="15"/>
  <c r="D40" i="15"/>
  <c r="E40" i="15"/>
  <c r="F40" i="15"/>
  <c r="B36" i="8"/>
  <c r="C36" i="8"/>
  <c r="B37" i="8"/>
  <c r="C37" i="8"/>
  <c r="B38" i="8"/>
  <c r="C38" i="8"/>
  <c r="B39" i="8"/>
  <c r="C40" i="7"/>
  <c r="B40" i="7"/>
  <c r="G25" i="7"/>
  <c r="F25" i="7"/>
  <c r="G28" i="7"/>
  <c r="C164" i="4"/>
  <c r="C159" i="4"/>
  <c r="C158" i="4"/>
  <c r="B164" i="4"/>
  <c r="B159" i="4"/>
  <c r="B158" i="4"/>
  <c r="C157" i="4"/>
  <c r="B157" i="4"/>
  <c r="C70" i="4"/>
  <c r="C75" i="4"/>
  <c r="C4" i="6"/>
  <c r="B69" i="4"/>
  <c r="C5" i="5"/>
  <c r="D5" i="5"/>
  <c r="D4" i="5"/>
  <c r="D7" i="5"/>
  <c r="E7" i="5"/>
  <c r="C13" i="6"/>
  <c r="D70" i="4"/>
  <c r="D75" i="4"/>
  <c r="D13" i="6"/>
  <c r="B67" i="4"/>
  <c r="B71" i="4"/>
  <c r="B70" i="4"/>
  <c r="B133" i="4"/>
  <c r="B118" i="4"/>
  <c r="B53" i="15"/>
  <c r="C22" i="15"/>
  <c r="B22" i="15"/>
  <c r="D22" i="15"/>
  <c r="C25" i="15"/>
  <c r="B25" i="15"/>
  <c r="D25" i="15"/>
  <c r="C26" i="15"/>
  <c r="B26" i="15"/>
  <c r="D26" i="15"/>
  <c r="C20" i="15"/>
  <c r="B20" i="15"/>
  <c r="C23" i="15"/>
  <c r="B23" i="15"/>
  <c r="D23" i="15"/>
  <c r="C24" i="15"/>
  <c r="B24" i="15"/>
  <c r="C86" i="15"/>
  <c r="D86" i="15"/>
  <c r="C85" i="15"/>
  <c r="D85" i="15"/>
  <c r="C87" i="15"/>
  <c r="D87" i="15"/>
  <c r="F51" i="15"/>
  <c r="F52" i="15"/>
  <c r="E51" i="15"/>
  <c r="E52" i="15"/>
  <c r="D51" i="15"/>
  <c r="D52" i="15"/>
  <c r="C51" i="15"/>
  <c r="C52" i="15"/>
  <c r="B51" i="15"/>
  <c r="B52" i="15"/>
  <c r="F55" i="15"/>
  <c r="F54" i="15"/>
  <c r="F53" i="15"/>
  <c r="E55" i="15"/>
  <c r="E54" i="15"/>
  <c r="E53" i="15"/>
  <c r="D55" i="15"/>
  <c r="D54" i="15"/>
  <c r="D53" i="15"/>
  <c r="C55" i="15"/>
  <c r="C54" i="15"/>
  <c r="C53" i="15"/>
  <c r="B55" i="15"/>
  <c r="B54" i="15"/>
  <c r="C70" i="15"/>
  <c r="D70" i="15"/>
  <c r="B72" i="15"/>
  <c r="C72" i="15"/>
  <c r="D72" i="15"/>
  <c r="B67" i="15"/>
  <c r="C67" i="15"/>
  <c r="D67" i="15"/>
  <c r="B71" i="15"/>
  <c r="C71" i="15"/>
  <c r="B68" i="15"/>
  <c r="D68" i="15"/>
  <c r="B69" i="15"/>
  <c r="C69" i="15"/>
  <c r="D69" i="15"/>
  <c r="B36" i="15"/>
  <c r="B189" i="57"/>
  <c r="B188" i="57"/>
  <c r="B163" i="57"/>
  <c r="B167" i="57"/>
  <c r="B158" i="57"/>
  <c r="C145" i="57"/>
  <c r="C148" i="57"/>
  <c r="C150" i="57"/>
  <c r="B145" i="57"/>
  <c r="B148" i="57"/>
  <c r="C130" i="57"/>
  <c r="D130" i="57"/>
  <c r="B126" i="57"/>
  <c r="B122" i="57"/>
  <c r="B116" i="57"/>
  <c r="B112" i="57"/>
  <c r="B5" i="57"/>
  <c r="C5" i="57"/>
  <c r="D5" i="57"/>
  <c r="B43" i="57"/>
  <c r="B46" i="57"/>
  <c r="E29" i="57"/>
  <c r="B91" i="57"/>
  <c r="B85" i="57"/>
  <c r="C72" i="57"/>
  <c r="B72" i="57"/>
  <c r="G66" i="57"/>
  <c r="F66" i="57"/>
  <c r="E66" i="57"/>
  <c r="D66" i="57"/>
  <c r="C66" i="57"/>
  <c r="B66" i="57"/>
  <c r="G65" i="57"/>
  <c r="F65" i="57"/>
  <c r="E65" i="57"/>
  <c r="D65" i="57"/>
  <c r="C65" i="57"/>
  <c r="B65" i="57"/>
  <c r="G60" i="57"/>
  <c r="F60" i="57"/>
  <c r="E60" i="57"/>
  <c r="D60" i="57"/>
  <c r="C60" i="57"/>
  <c r="B60" i="57"/>
  <c r="G59" i="57"/>
  <c r="F59" i="57"/>
  <c r="E59" i="57"/>
  <c r="D59" i="57"/>
  <c r="C59" i="57"/>
  <c r="B59" i="57"/>
  <c r="E52" i="57"/>
  <c r="D52" i="57"/>
  <c r="F52" i="57"/>
  <c r="E51" i="57"/>
  <c r="D51" i="57"/>
  <c r="D24" i="57"/>
  <c r="C24" i="57"/>
  <c r="B24" i="57"/>
  <c r="D18" i="57"/>
  <c r="C18" i="57"/>
  <c r="B18" i="57"/>
  <c r="D11" i="57"/>
  <c r="D12" i="57"/>
  <c r="C11" i="57"/>
  <c r="C12" i="57"/>
  <c r="B11" i="57"/>
  <c r="B12" i="57"/>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AM7" i="26"/>
  <c r="AN7" i="26"/>
  <c r="AO7" i="26"/>
  <c r="AP7" i="26"/>
  <c r="AQ7" i="26"/>
  <c r="AR7" i="26"/>
  <c r="AS7" i="26"/>
  <c r="AT7" i="26"/>
  <c r="AU7" i="26"/>
  <c r="AV7" i="26"/>
  <c r="AW7" i="26"/>
  <c r="AX7" i="26"/>
  <c r="AY7" i="26"/>
  <c r="AZ7" i="26"/>
  <c r="BA7" i="26"/>
  <c r="BB7" i="26"/>
  <c r="BC7" i="26"/>
  <c r="BD7" i="26"/>
  <c r="BE7" i="26"/>
  <c r="BF7" i="26"/>
  <c r="BG7" i="26"/>
  <c r="BH7" i="26"/>
  <c r="BI7" i="26"/>
  <c r="BJ7" i="26"/>
  <c r="BK7" i="26"/>
  <c r="BL7" i="26"/>
  <c r="BM7" i="26"/>
  <c r="BN7" i="26"/>
  <c r="BO7" i="26"/>
  <c r="BP7" i="26"/>
  <c r="BQ7" i="26"/>
  <c r="BR7" i="26"/>
  <c r="BS7" i="26"/>
  <c r="BT7" i="26"/>
  <c r="BU7" i="26"/>
  <c r="BV7" i="26"/>
  <c r="BW7" i="26"/>
  <c r="BX7" i="26"/>
  <c r="BY7" i="26"/>
  <c r="BZ7" i="26"/>
  <c r="CA7" i="26"/>
  <c r="CB7" i="26"/>
  <c r="CC7" i="26"/>
  <c r="CD7" i="26"/>
  <c r="CE7" i="26"/>
  <c r="CF7" i="26"/>
  <c r="CG7" i="26"/>
  <c r="CH7" i="26"/>
  <c r="CI7" i="26"/>
  <c r="CJ7" i="26"/>
  <c r="CK7" i="26"/>
  <c r="CL7" i="26"/>
  <c r="CM7" i="26"/>
  <c r="CN7" i="26"/>
  <c r="CO7" i="26"/>
  <c r="CP7" i="26"/>
  <c r="CQ7" i="26"/>
  <c r="CR7" i="26"/>
  <c r="CS7" i="26"/>
  <c r="CT7" i="26"/>
  <c r="CU7" i="26"/>
  <c r="CV7" i="26"/>
  <c r="CW7" i="26"/>
  <c r="CX7" i="26"/>
  <c r="CY7" i="26"/>
  <c r="CZ7" i="26"/>
  <c r="DA7" i="26"/>
  <c r="DB7" i="26"/>
  <c r="DC7" i="26"/>
  <c r="DD7" i="26"/>
  <c r="DE7" i="26"/>
  <c r="DF7" i="26"/>
  <c r="DG7" i="26"/>
  <c r="DH7" i="26"/>
  <c r="DI7" i="26"/>
  <c r="DJ7" i="26"/>
  <c r="DK7" i="26"/>
  <c r="DL7" i="26"/>
  <c r="DM7" i="26"/>
  <c r="DN7" i="26"/>
  <c r="DO7" i="26"/>
  <c r="DP7" i="26"/>
  <c r="DQ7" i="26"/>
  <c r="DR7" i="26"/>
  <c r="DS7" i="26"/>
  <c r="DT7" i="26"/>
  <c r="DU7" i="26"/>
  <c r="DV7" i="26"/>
  <c r="DW7" i="26"/>
  <c r="DX7" i="26"/>
  <c r="DY7" i="26"/>
  <c r="DZ7" i="26"/>
  <c r="EA7" i="26"/>
  <c r="EB7" i="26"/>
  <c r="EC7" i="26"/>
  <c r="ED7" i="26"/>
  <c r="EE7" i="26"/>
  <c r="EF7" i="26"/>
  <c r="EG7" i="26"/>
  <c r="EH7" i="26"/>
  <c r="EI7" i="26"/>
  <c r="EJ7" i="26"/>
  <c r="EK7" i="26"/>
  <c r="EL7" i="26"/>
  <c r="EM7" i="26"/>
  <c r="EN7" i="26"/>
  <c r="EO7" i="26"/>
  <c r="EP7" i="26"/>
  <c r="EQ7" i="26"/>
  <c r="ER7" i="26"/>
  <c r="ES7" i="26"/>
  <c r="ET7" i="26"/>
  <c r="EU7" i="26"/>
  <c r="EV7" i="26"/>
  <c r="EW7" i="26"/>
  <c r="EX7" i="26"/>
  <c r="EY7" i="26"/>
  <c r="EZ7" i="26"/>
  <c r="FA7" i="26"/>
  <c r="FB7" i="26"/>
  <c r="FC7" i="26"/>
  <c r="FD7" i="26"/>
  <c r="FE7" i="26"/>
  <c r="FF7" i="26"/>
  <c r="FG7" i="26"/>
  <c r="FH7" i="26"/>
  <c r="FI7" i="26"/>
  <c r="FJ7" i="26"/>
  <c r="FK7" i="26"/>
  <c r="FL7" i="26"/>
  <c r="FM7" i="26"/>
  <c r="FN7" i="26"/>
  <c r="FO7" i="26"/>
  <c r="FP7" i="26"/>
  <c r="FQ7" i="26"/>
  <c r="FR7" i="26"/>
  <c r="FS7" i="26"/>
  <c r="FT7" i="26"/>
  <c r="FU7" i="26"/>
  <c r="FV7" i="26"/>
  <c r="FW7" i="26"/>
  <c r="FX7" i="26"/>
  <c r="FY7" i="26"/>
  <c r="FZ7" i="26"/>
  <c r="GA7" i="26"/>
  <c r="GB7" i="26"/>
  <c r="GC7" i="26"/>
  <c r="GD7" i="26"/>
  <c r="GE7" i="26"/>
  <c r="GF7" i="26"/>
  <c r="GG7" i="26"/>
  <c r="GH7" i="26"/>
  <c r="GI7" i="26"/>
  <c r="GJ7" i="26"/>
  <c r="GK7" i="26"/>
  <c r="GL7" i="26"/>
  <c r="GM7" i="26"/>
  <c r="GN7" i="26"/>
  <c r="GO7" i="26"/>
  <c r="GP7" i="26"/>
  <c r="GQ7" i="26"/>
  <c r="GR7" i="26"/>
  <c r="GS7" i="26"/>
  <c r="GT7" i="26"/>
  <c r="GU7" i="26"/>
  <c r="GV7" i="26"/>
  <c r="GW7" i="26"/>
  <c r="GX7" i="26"/>
  <c r="GY7" i="26"/>
  <c r="GZ7" i="26"/>
  <c r="HA7" i="26"/>
  <c r="HB7" i="26"/>
  <c r="HC7" i="26"/>
  <c r="HD7" i="26"/>
  <c r="HE7" i="26"/>
  <c r="HF7" i="26"/>
  <c r="HG7" i="26"/>
  <c r="HH7" i="26"/>
  <c r="HI7" i="26"/>
  <c r="HJ7" i="26"/>
  <c r="HK7" i="26"/>
  <c r="HL7" i="26"/>
  <c r="HM7" i="26"/>
  <c r="HN7" i="26"/>
  <c r="HO7" i="26"/>
  <c r="HP7" i="26"/>
  <c r="HQ7" i="26"/>
  <c r="HR7" i="26"/>
  <c r="HS7" i="26"/>
  <c r="HT7" i="26"/>
  <c r="HU7" i="26"/>
  <c r="HV7" i="26"/>
  <c r="HW7" i="26"/>
  <c r="HX7" i="26"/>
  <c r="HY7" i="26"/>
  <c r="HZ7" i="26"/>
  <c r="IA7" i="26"/>
  <c r="IB7" i="26"/>
  <c r="IC7" i="26"/>
  <c r="ID7" i="26"/>
  <c r="IE7" i="26"/>
  <c r="IF7" i="26"/>
  <c r="IG7" i="26"/>
  <c r="IH7" i="26"/>
  <c r="II7" i="26"/>
  <c r="IJ7" i="26"/>
  <c r="IK7" i="26"/>
  <c r="IL7" i="26"/>
  <c r="IM7" i="26"/>
  <c r="IN7" i="26"/>
  <c r="IO7" i="26"/>
  <c r="IP7" i="26"/>
  <c r="IQ7" i="26"/>
  <c r="IR7" i="26"/>
  <c r="IS7" i="26"/>
  <c r="IT7" i="26"/>
  <c r="IU7" i="26"/>
  <c r="IV7" i="26"/>
  <c r="B63" i="26"/>
  <c r="C63" i="26"/>
  <c r="D83" i="26"/>
  <c r="D84" i="26"/>
  <c r="D85" i="26"/>
  <c r="C83" i="26"/>
  <c r="C84" i="26"/>
  <c r="C85" i="26"/>
  <c r="B83" i="26"/>
  <c r="B84" i="26"/>
  <c r="B54" i="26"/>
  <c r="C54" i="26"/>
  <c r="B60" i="26"/>
  <c r="B59" i="26"/>
  <c r="D42" i="26"/>
  <c r="C42" i="26"/>
  <c r="B42" i="26"/>
  <c r="E84" i="26"/>
  <c r="B134" i="4"/>
  <c r="B135" i="4"/>
  <c r="B136" i="4"/>
  <c r="B117" i="4"/>
  <c r="B120" i="4"/>
  <c r="B121" i="4"/>
  <c r="B122" i="4"/>
  <c r="B123" i="4"/>
  <c r="B124" i="4"/>
  <c r="B125" i="4"/>
  <c r="B126" i="4"/>
  <c r="B127" i="4"/>
  <c r="I30" i="4"/>
  <c r="B46" i="4"/>
  <c r="B44" i="4"/>
  <c r="G30" i="4"/>
  <c r="B5" i="4"/>
  <c r="G10" i="4"/>
  <c r="B15" i="4"/>
  <c r="B86" i="4"/>
  <c r="B87" i="4"/>
  <c r="B90" i="4"/>
  <c r="B49" i="4"/>
  <c r="B53" i="4"/>
  <c r="D22" i="4"/>
  <c r="D21" i="4"/>
  <c r="G32" i="4"/>
  <c r="I32" i="4"/>
  <c r="J32" i="4"/>
  <c r="G33" i="4"/>
  <c r="I33" i="4"/>
  <c r="J33" i="4"/>
  <c r="G34" i="4"/>
  <c r="I34" i="4"/>
  <c r="J34" i="4"/>
  <c r="G35" i="4"/>
  <c r="I35" i="4"/>
  <c r="J35" i="4"/>
  <c r="G36" i="4"/>
  <c r="I36" i="4"/>
  <c r="J36" i="4"/>
  <c r="G37" i="4"/>
  <c r="I37" i="4"/>
  <c r="J37" i="4"/>
  <c r="G38" i="4"/>
  <c r="I38" i="4"/>
  <c r="J38" i="4"/>
  <c r="G39" i="4"/>
  <c r="I39" i="4"/>
  <c r="J39" i="4"/>
  <c r="F32" i="4"/>
  <c r="D32" i="4"/>
  <c r="H32" i="4"/>
  <c r="F33" i="4"/>
  <c r="F34" i="4"/>
  <c r="F35" i="4"/>
  <c r="F36" i="4"/>
  <c r="F37" i="4"/>
  <c r="F38" i="4"/>
  <c r="F39" i="4"/>
  <c r="D33" i="4"/>
  <c r="D34" i="4"/>
  <c r="D35" i="4"/>
  <c r="D36" i="4"/>
  <c r="H36" i="4"/>
  <c r="D37" i="4"/>
  <c r="D38" i="4"/>
  <c r="D39" i="4"/>
  <c r="B12" i="4"/>
  <c r="D19" i="4"/>
  <c r="D18" i="4"/>
  <c r="H35" i="4"/>
  <c r="F30" i="4"/>
  <c r="D30" i="4"/>
  <c r="H30" i="4"/>
  <c r="B31" i="51"/>
  <c r="C31" i="51"/>
  <c r="B35" i="51"/>
  <c r="C35" i="51"/>
  <c r="B25" i="51"/>
  <c r="C25" i="51"/>
  <c r="C33" i="31"/>
  <c r="C34" i="31"/>
  <c r="C32" i="31"/>
  <c r="C35" i="31"/>
  <c r="C36" i="31"/>
  <c r="C37" i="31"/>
  <c r="C23" i="31"/>
  <c r="C24" i="31"/>
  <c r="C22" i="31"/>
  <c r="C25" i="31"/>
  <c r="B33" i="31"/>
  <c r="B23" i="31"/>
  <c r="B25" i="31"/>
  <c r="C45" i="32"/>
  <c r="C55" i="32"/>
  <c r="C46" i="32"/>
  <c r="C48" i="32"/>
  <c r="B45" i="32"/>
  <c r="B55" i="32"/>
  <c r="E45" i="32"/>
  <c r="D45" i="32"/>
  <c r="D46" i="32"/>
  <c r="B30" i="32"/>
  <c r="B33" i="32"/>
  <c r="B35" i="32"/>
  <c r="B36" i="32"/>
  <c r="B37" i="32"/>
  <c r="B4" i="32"/>
  <c r="C8" i="32"/>
  <c r="B16" i="32"/>
  <c r="B17" i="36"/>
  <c r="C2" i="36"/>
  <c r="C5" i="36"/>
  <c r="C3" i="36"/>
  <c r="C31" i="36"/>
  <c r="B8" i="36"/>
  <c r="C6" i="36"/>
  <c r="C39" i="36"/>
  <c r="B19" i="36"/>
  <c r="C54" i="36"/>
  <c r="C40" i="36"/>
  <c r="B39" i="36"/>
  <c r="B51" i="36"/>
  <c r="B52" i="36"/>
  <c r="B54" i="36"/>
  <c r="B13" i="36"/>
  <c r="B47" i="36"/>
  <c r="B40" i="36"/>
  <c r="B31" i="36"/>
  <c r="B14" i="36"/>
  <c r="B15" i="36"/>
  <c r="I8" i="63428"/>
  <c r="H8" i="63428"/>
  <c r="I7" i="63428"/>
  <c r="H7" i="63428"/>
  <c r="I6" i="63428"/>
  <c r="H6" i="63428"/>
  <c r="I9" i="63428"/>
  <c r="G6" i="63428"/>
  <c r="F6" i="63428"/>
  <c r="F9" i="63428"/>
  <c r="F10" i="63428"/>
  <c r="D43" i="49"/>
  <c r="D60" i="49"/>
  <c r="D44" i="49"/>
  <c r="D45" i="49"/>
  <c r="D46" i="49"/>
  <c r="D63" i="49"/>
  <c r="D47" i="49"/>
  <c r="D48" i="49"/>
  <c r="D49" i="49"/>
  <c r="C43" i="49"/>
  <c r="C44" i="49"/>
  <c r="C45" i="49"/>
  <c r="C46" i="49"/>
  <c r="C47" i="49"/>
  <c r="C48" i="49"/>
  <c r="C49" i="49"/>
  <c r="C66" i="49"/>
  <c r="C51" i="49"/>
  <c r="D51" i="49"/>
  <c r="G51" i="49"/>
  <c r="B43" i="49"/>
  <c r="B44" i="49"/>
  <c r="B61" i="49"/>
  <c r="F44" i="49"/>
  <c r="B46" i="49"/>
  <c r="F46" i="49"/>
  <c r="B47" i="49"/>
  <c r="B64" i="49"/>
  <c r="B48" i="49"/>
  <c r="F48" i="49"/>
  <c r="B49" i="49"/>
  <c r="B51" i="49"/>
  <c r="D53" i="49"/>
  <c r="D54" i="49"/>
  <c r="D55" i="49"/>
  <c r="C53" i="49"/>
  <c r="C54" i="49"/>
  <c r="C71" i="49"/>
  <c r="C55" i="49"/>
  <c r="B53" i="49"/>
  <c r="F53" i="49"/>
  <c r="B54" i="49"/>
  <c r="B55" i="49"/>
  <c r="B72" i="49"/>
  <c r="C70" i="49"/>
  <c r="C64" i="49"/>
  <c r="G46" i="49"/>
  <c r="G44" i="49"/>
  <c r="E100" i="49"/>
  <c r="D100" i="49"/>
  <c r="C100" i="49"/>
  <c r="E92" i="49"/>
  <c r="E93" i="49"/>
  <c r="E94" i="49"/>
  <c r="E95" i="49"/>
  <c r="E88" i="49"/>
  <c r="E89" i="49"/>
  <c r="E90" i="49"/>
  <c r="D92" i="49"/>
  <c r="D93" i="49"/>
  <c r="D94" i="49"/>
  <c r="D95" i="49"/>
  <c r="D88" i="49"/>
  <c r="D89" i="49"/>
  <c r="D90" i="49"/>
  <c r="C92" i="49"/>
  <c r="C93" i="49"/>
  <c r="C94" i="49"/>
  <c r="C95" i="49"/>
  <c r="C88" i="49"/>
  <c r="C89" i="49"/>
  <c r="C90" i="49"/>
  <c r="B92" i="49"/>
  <c r="B93" i="49"/>
  <c r="B94" i="49"/>
  <c r="B95" i="49"/>
  <c r="B88" i="49"/>
  <c r="B89" i="49"/>
  <c r="B90" i="49"/>
  <c r="D24" i="49"/>
  <c r="D32" i="49"/>
  <c r="D36" i="49"/>
  <c r="B24" i="49"/>
  <c r="B32" i="49"/>
  <c r="B33" i="49"/>
  <c r="B36" i="49"/>
  <c r="B39" i="49"/>
  <c r="C32" i="49"/>
  <c r="C36" i="49"/>
  <c r="C24" i="49"/>
  <c r="C33" i="49"/>
  <c r="E16" i="49"/>
  <c r="E17" i="49"/>
  <c r="D16" i="49"/>
  <c r="D17" i="49"/>
  <c r="C16" i="49"/>
  <c r="C17" i="49"/>
  <c r="B16" i="49"/>
  <c r="B17" i="49"/>
  <c r="E13" i="49"/>
  <c r="E14" i="49"/>
  <c r="D13" i="49"/>
  <c r="D14" i="49"/>
  <c r="C13" i="49"/>
  <c r="C14" i="49"/>
  <c r="B13" i="49"/>
  <c r="B14" i="49"/>
  <c r="E7" i="49"/>
  <c r="E9" i="49"/>
  <c r="E11" i="49"/>
  <c r="D7" i="49"/>
  <c r="D9" i="49"/>
  <c r="D11" i="49"/>
  <c r="C7" i="49"/>
  <c r="C9" i="49"/>
  <c r="C11" i="49"/>
  <c r="B7" i="49"/>
  <c r="B9" i="49"/>
  <c r="B11" i="49"/>
  <c r="F12" i="16"/>
  <c r="F13" i="16"/>
  <c r="F14" i="16"/>
  <c r="F15" i="16"/>
  <c r="F17" i="16"/>
  <c r="F19" i="16"/>
  <c r="E12" i="16"/>
  <c r="E13" i="16"/>
  <c r="E14" i="16"/>
  <c r="D12" i="16"/>
  <c r="D13" i="16"/>
  <c r="D14" i="16"/>
  <c r="D15" i="16"/>
  <c r="D17" i="16"/>
  <c r="D19" i="16"/>
  <c r="C12" i="16"/>
  <c r="C13" i="16"/>
  <c r="C14" i="16"/>
  <c r="C15" i="16"/>
  <c r="C17" i="16"/>
  <c r="C19" i="16"/>
  <c r="E17" i="16"/>
  <c r="E15" i="16"/>
  <c r="D11" i="16"/>
  <c r="C11" i="16"/>
  <c r="F32" i="17"/>
  <c r="F33" i="17"/>
  <c r="C30" i="17"/>
  <c r="D30" i="17"/>
  <c r="E30" i="17"/>
  <c r="F30" i="17"/>
  <c r="F37" i="17"/>
  <c r="E32" i="17"/>
  <c r="E33" i="17"/>
  <c r="E37" i="17"/>
  <c r="D32" i="17"/>
  <c r="D33" i="17"/>
  <c r="D37" i="17"/>
  <c r="C37" i="17"/>
  <c r="B32" i="17"/>
  <c r="B33" i="17"/>
  <c r="B37" i="17"/>
  <c r="B16" i="17"/>
  <c r="B17" i="17"/>
  <c r="B21" i="17"/>
  <c r="B20" i="17"/>
  <c r="B14" i="17"/>
  <c r="B175" i="21"/>
  <c r="H183" i="21"/>
  <c r="H178" i="21"/>
  <c r="H184" i="21"/>
  <c r="H186" i="21"/>
  <c r="C178" i="21"/>
  <c r="D178" i="21"/>
  <c r="E178" i="21"/>
  <c r="F178" i="21"/>
  <c r="G178" i="21"/>
  <c r="I178" i="21"/>
  <c r="J182" i="21"/>
  <c r="J186" i="21"/>
  <c r="J194" i="21"/>
  <c r="B125" i="21"/>
  <c r="C130" i="21"/>
  <c r="C131" i="21"/>
  <c r="C132" i="21"/>
  <c r="B129" i="21"/>
  <c r="B132" i="21"/>
  <c r="C145" i="21"/>
  <c r="B159" i="21"/>
  <c r="B161" i="21"/>
  <c r="B185" i="21"/>
  <c r="B186" i="21"/>
  <c r="B194" i="21"/>
  <c r="B195" i="21"/>
  <c r="D180" i="21"/>
  <c r="E180" i="21"/>
  <c r="F180" i="21"/>
  <c r="G180" i="21"/>
  <c r="H180" i="21"/>
  <c r="I180" i="21"/>
  <c r="D137" i="21"/>
  <c r="E137" i="21"/>
  <c r="F137" i="21"/>
  <c r="G137" i="21"/>
  <c r="H137" i="21"/>
  <c r="I137" i="21"/>
  <c r="J137" i="21"/>
  <c r="K137" i="21"/>
  <c r="L137" i="21"/>
  <c r="M137" i="21"/>
  <c r="N137" i="21"/>
  <c r="O137" i="21"/>
  <c r="P137" i="21"/>
  <c r="Q137" i="21"/>
  <c r="R137" i="21"/>
  <c r="S137" i="21"/>
  <c r="T137" i="21"/>
  <c r="U137" i="21"/>
  <c r="V137" i="21"/>
  <c r="W137" i="21"/>
  <c r="X137" i="21"/>
  <c r="Y137" i="21"/>
  <c r="Z137" i="21"/>
  <c r="AA137" i="21"/>
  <c r="AB137" i="21"/>
  <c r="AC137" i="21"/>
  <c r="AD137" i="21"/>
  <c r="AE137" i="21"/>
  <c r="AF137" i="21"/>
  <c r="D128" i="21"/>
  <c r="D136" i="21"/>
  <c r="F267" i="21"/>
  <c r="E267" i="21"/>
  <c r="D267" i="21"/>
  <c r="C267" i="21"/>
  <c r="B267" i="21"/>
  <c r="B168" i="21"/>
  <c r="B145" i="21"/>
  <c r="D131" i="21"/>
  <c r="E131" i="21"/>
  <c r="F131" i="21"/>
  <c r="G131" i="21"/>
  <c r="H131" i="21"/>
  <c r="I131" i="21"/>
  <c r="J131" i="21"/>
  <c r="K131" i="21"/>
  <c r="L131" i="21"/>
  <c r="L103" i="21"/>
  <c r="L107" i="21"/>
  <c r="K103" i="21"/>
  <c r="K107" i="21"/>
  <c r="K104" i="21"/>
  <c r="K105" i="21"/>
  <c r="J103" i="21"/>
  <c r="J107" i="21"/>
  <c r="J104" i="21"/>
  <c r="J105" i="21"/>
  <c r="I103" i="21"/>
  <c r="I107" i="21"/>
  <c r="I104" i="21"/>
  <c r="I105" i="21"/>
  <c r="H103" i="21"/>
  <c r="H107" i="21"/>
  <c r="H104" i="21"/>
  <c r="H105" i="21"/>
  <c r="G103" i="21"/>
  <c r="G107" i="21"/>
  <c r="G104" i="21"/>
  <c r="F103" i="21"/>
  <c r="F107" i="21"/>
  <c r="F104" i="21"/>
  <c r="F105" i="21"/>
  <c r="E103" i="21"/>
  <c r="E107" i="21"/>
  <c r="D103" i="21"/>
  <c r="D107" i="21"/>
  <c r="C103" i="21"/>
  <c r="C107" i="21"/>
  <c r="G49" i="21"/>
  <c r="G55" i="21"/>
  <c r="G50" i="21"/>
  <c r="F49" i="21"/>
  <c r="F55" i="21"/>
  <c r="E49" i="21"/>
  <c r="E55" i="21"/>
  <c r="E50" i="21"/>
  <c r="E52" i="21"/>
  <c r="D49" i="21"/>
  <c r="D55" i="21"/>
  <c r="C55" i="21"/>
  <c r="C49" i="21"/>
  <c r="C50" i="21"/>
  <c r="C52" i="21"/>
  <c r="B54" i="21"/>
  <c r="B48" i="21"/>
  <c r="B47" i="21"/>
  <c r="B51" i="21"/>
  <c r="B52" i="21"/>
  <c r="B13" i="21"/>
  <c r="B17" i="21"/>
  <c r="J13" i="21"/>
  <c r="J14" i="21"/>
  <c r="J16" i="21"/>
  <c r="C15" i="21"/>
  <c r="J15" i="21"/>
  <c r="I14" i="21"/>
  <c r="H14" i="21"/>
  <c r="H16" i="21"/>
  <c r="G14" i="21"/>
  <c r="F14" i="21"/>
  <c r="F16" i="21"/>
  <c r="F17" i="21"/>
  <c r="E14" i="21"/>
  <c r="D14" i="21"/>
  <c r="D16" i="21"/>
  <c r="C14" i="21"/>
  <c r="C16" i="21"/>
  <c r="AF131" i="21"/>
  <c r="AE131" i="21"/>
  <c r="AD131" i="21"/>
  <c r="AC131" i="21"/>
  <c r="AB131" i="21"/>
  <c r="AA131" i="21"/>
  <c r="Z131" i="21"/>
  <c r="Y131" i="21"/>
  <c r="X131" i="21"/>
  <c r="W131" i="21"/>
  <c r="V131" i="21"/>
  <c r="U131" i="21"/>
  <c r="T131" i="21"/>
  <c r="S131" i="21"/>
  <c r="R131" i="21"/>
  <c r="Q131" i="21"/>
  <c r="P131" i="21"/>
  <c r="O131" i="21"/>
  <c r="N131" i="21"/>
  <c r="M131" i="21"/>
  <c r="C86" i="21"/>
  <c r="D86" i="21"/>
  <c r="E86" i="21"/>
  <c r="A129" i="21"/>
  <c r="B102" i="21"/>
  <c r="B105" i="21"/>
  <c r="C101" i="21"/>
  <c r="D101" i="21"/>
  <c r="E101" i="21"/>
  <c r="F101" i="21"/>
  <c r="G101" i="21"/>
  <c r="H101" i="21"/>
  <c r="I101" i="21"/>
  <c r="J101" i="21"/>
  <c r="K101" i="21"/>
  <c r="L101" i="21"/>
  <c r="L83" i="21"/>
  <c r="L84" i="21"/>
  <c r="K83" i="21"/>
  <c r="K84" i="21"/>
  <c r="J83" i="21"/>
  <c r="J84" i="21"/>
  <c r="I83" i="21"/>
  <c r="I84" i="21"/>
  <c r="H83" i="21"/>
  <c r="H84" i="21"/>
  <c r="G83" i="21"/>
  <c r="G84" i="21"/>
  <c r="F83" i="21"/>
  <c r="F84" i="21"/>
  <c r="E83" i="21"/>
  <c r="E84" i="21"/>
  <c r="D83" i="21"/>
  <c r="D84" i="21"/>
  <c r="C83" i="21"/>
  <c r="C84" i="21"/>
  <c r="B81" i="21"/>
  <c r="B82" i="21"/>
  <c r="C80" i="21"/>
  <c r="D80" i="21"/>
  <c r="E80" i="21"/>
  <c r="F80" i="21"/>
  <c r="G80" i="21"/>
  <c r="H80" i="21"/>
  <c r="I80" i="21"/>
  <c r="J80" i="21"/>
  <c r="K80" i="21"/>
  <c r="L80" i="21"/>
  <c r="C62" i="21"/>
  <c r="C66" i="21"/>
  <c r="B66" i="21"/>
  <c r="G47" i="21"/>
  <c r="C46" i="21"/>
  <c r="D46" i="21"/>
  <c r="E46" i="21"/>
  <c r="F46" i="21"/>
  <c r="G46" i="21"/>
  <c r="C7" i="22"/>
  <c r="B7" i="22"/>
  <c r="B9" i="22"/>
  <c r="C5" i="22"/>
  <c r="B10" i="22"/>
  <c r="B15" i="22"/>
  <c r="B4" i="22"/>
  <c r="C23" i="1"/>
  <c r="AA15" i="1"/>
  <c r="AA22" i="1"/>
  <c r="AB15" i="1"/>
  <c r="AB19" i="1"/>
  <c r="AB21" i="1"/>
  <c r="AB22" i="1"/>
  <c r="AB25" i="1"/>
  <c r="AC15" i="1"/>
  <c r="AC19" i="1"/>
  <c r="AC21" i="1"/>
  <c r="AC22" i="1"/>
  <c r="AD15" i="1"/>
  <c r="AD19" i="1"/>
  <c r="AD21" i="1"/>
  <c r="AD22" i="1"/>
  <c r="AE15" i="1"/>
  <c r="AE19" i="1"/>
  <c r="AE21" i="1"/>
  <c r="AE22" i="1"/>
  <c r="AE25" i="1"/>
  <c r="AF15" i="1"/>
  <c r="AF19" i="1"/>
  <c r="AF21" i="1"/>
  <c r="AF22" i="1"/>
  <c r="AF25" i="1"/>
  <c r="AG15" i="1"/>
  <c r="AG19" i="1"/>
  <c r="AG21" i="1"/>
  <c r="AG22" i="1"/>
  <c r="AG25" i="1"/>
  <c r="AH15" i="1"/>
  <c r="AH19" i="1"/>
  <c r="AH21" i="1"/>
  <c r="AH22" i="1"/>
  <c r="AH25" i="1"/>
  <c r="AI15" i="1"/>
  <c r="AI19" i="1"/>
  <c r="AI21" i="1"/>
  <c r="AI22" i="1"/>
  <c r="AJ15" i="1"/>
  <c r="AJ19" i="1"/>
  <c r="AJ21" i="1"/>
  <c r="AJ22" i="1"/>
  <c r="AK15" i="1"/>
  <c r="AK19" i="1"/>
  <c r="AK21" i="1"/>
  <c r="AK22" i="1"/>
  <c r="AL15" i="1"/>
  <c r="AL19" i="1"/>
  <c r="AL21" i="1"/>
  <c r="AL22" i="1"/>
  <c r="AL25" i="1"/>
  <c r="O15" i="1"/>
  <c r="O19" i="1"/>
  <c r="O21" i="1"/>
  <c r="O22" i="1"/>
  <c r="P15" i="1"/>
  <c r="P19" i="1"/>
  <c r="P21" i="1"/>
  <c r="P22" i="1"/>
  <c r="P25" i="1"/>
  <c r="Q15" i="1"/>
  <c r="Q19" i="1"/>
  <c r="Q21" i="1"/>
  <c r="Q22" i="1"/>
  <c r="R15" i="1"/>
  <c r="R19" i="1"/>
  <c r="R21" i="1"/>
  <c r="R22" i="1"/>
  <c r="S15" i="1"/>
  <c r="S19" i="1"/>
  <c r="S21" i="1"/>
  <c r="S22" i="1"/>
  <c r="T15" i="1"/>
  <c r="T19" i="1"/>
  <c r="T21" i="1"/>
  <c r="T22" i="1"/>
  <c r="U15" i="1"/>
  <c r="U19" i="1"/>
  <c r="U21" i="1"/>
  <c r="U22" i="1"/>
  <c r="U25" i="1"/>
  <c r="V15" i="1"/>
  <c r="V19" i="1"/>
  <c r="V21" i="1"/>
  <c r="V22" i="1"/>
  <c r="W15" i="1"/>
  <c r="W19" i="1"/>
  <c r="W21" i="1"/>
  <c r="W22" i="1"/>
  <c r="X15" i="1"/>
  <c r="X19" i="1"/>
  <c r="X21" i="1"/>
  <c r="X22" i="1"/>
  <c r="Y15" i="1"/>
  <c r="Y19" i="1"/>
  <c r="Y21" i="1"/>
  <c r="Y22" i="1"/>
  <c r="Z15" i="1"/>
  <c r="Z19" i="1"/>
  <c r="Z21" i="1"/>
  <c r="Z22" i="1"/>
  <c r="Z25" i="1"/>
  <c r="F19" i="1"/>
  <c r="F21" i="1"/>
  <c r="F22" i="1"/>
  <c r="C15" i="1"/>
  <c r="C19" i="1"/>
  <c r="C21" i="1"/>
  <c r="G15" i="1"/>
  <c r="G19" i="1"/>
  <c r="G21" i="1"/>
  <c r="G22" i="1"/>
  <c r="H15" i="1"/>
  <c r="H19" i="1"/>
  <c r="H21" i="1"/>
  <c r="H22" i="1"/>
  <c r="I15" i="1"/>
  <c r="I19" i="1"/>
  <c r="I21" i="1"/>
  <c r="I22" i="1"/>
  <c r="I25" i="1"/>
  <c r="J15" i="1"/>
  <c r="J19" i="1"/>
  <c r="J21" i="1"/>
  <c r="J22" i="1"/>
  <c r="K15" i="1"/>
  <c r="K19" i="1"/>
  <c r="K21" i="1"/>
  <c r="K22" i="1"/>
  <c r="L15" i="1"/>
  <c r="L19" i="1"/>
  <c r="L21" i="1"/>
  <c r="L22" i="1"/>
  <c r="M15" i="1"/>
  <c r="M19" i="1"/>
  <c r="M22" i="1"/>
  <c r="N15" i="1"/>
  <c r="N19" i="1"/>
  <c r="N21" i="1"/>
  <c r="N22" i="1"/>
  <c r="N25" i="1"/>
  <c r="D15" i="1"/>
  <c r="D19" i="1"/>
  <c r="D21" i="1"/>
  <c r="D22" i="1"/>
  <c r="E15" i="1"/>
  <c r="E19" i="1"/>
  <c r="E21" i="1"/>
  <c r="E22" i="1"/>
  <c r="B24" i="1"/>
  <c r="B20" i="1"/>
  <c r="B18" i="1"/>
  <c r="B17" i="1"/>
  <c r="B16" i="1"/>
  <c r="B8" i="1"/>
  <c r="D5" i="1"/>
  <c r="D7" i="1"/>
  <c r="E5" i="1"/>
  <c r="E7" i="1"/>
  <c r="F5" i="1"/>
  <c r="F7" i="1"/>
  <c r="B9" i="1"/>
  <c r="C5" i="1"/>
  <c r="C7" i="1"/>
  <c r="G5" i="1"/>
  <c r="G7" i="1"/>
  <c r="B5" i="1"/>
  <c r="B7" i="1"/>
  <c r="B14" i="24"/>
  <c r="B7" i="24"/>
  <c r="B81" i="24"/>
  <c r="B83" i="24"/>
  <c r="D80" i="24"/>
  <c r="D81" i="24"/>
  <c r="B56" i="24"/>
  <c r="B57" i="24"/>
  <c r="D51" i="24"/>
  <c r="D52" i="24"/>
  <c r="B34" i="24"/>
  <c r="B36" i="24"/>
  <c r="B40" i="24"/>
  <c r="B42" i="24"/>
  <c r="H81" i="24"/>
  <c r="H82" i="24"/>
  <c r="G81" i="24"/>
  <c r="G83" i="24"/>
  <c r="F81" i="24"/>
  <c r="F82" i="24"/>
  <c r="E81" i="24"/>
  <c r="E83" i="24"/>
  <c r="C81" i="24"/>
  <c r="C82" i="24"/>
  <c r="H83" i="24"/>
  <c r="F83" i="24"/>
  <c r="L52" i="24"/>
  <c r="K52" i="24"/>
  <c r="K54" i="24"/>
  <c r="K53" i="24"/>
  <c r="J52" i="24"/>
  <c r="I52" i="24"/>
  <c r="I53" i="24"/>
  <c r="H52" i="24"/>
  <c r="G52" i="24"/>
  <c r="G53" i="24"/>
  <c r="F52" i="24"/>
  <c r="F53" i="24"/>
  <c r="E52" i="24"/>
  <c r="E53" i="24"/>
  <c r="C52" i="24"/>
  <c r="B52" i="24"/>
  <c r="B54" i="24"/>
  <c r="B53" i="24"/>
  <c r="G54" i="24"/>
  <c r="E54" i="24"/>
  <c r="B24" i="25"/>
  <c r="B25" i="25"/>
  <c r="C33" i="25"/>
  <c r="C35" i="25"/>
  <c r="B35" i="25"/>
  <c r="B33" i="25"/>
  <c r="B36" i="25"/>
  <c r="B7" i="25"/>
  <c r="E9" i="29"/>
  <c r="E11" i="29"/>
  <c r="D9" i="29"/>
  <c r="D11" i="29"/>
  <c r="C9" i="29"/>
  <c r="C11" i="29"/>
  <c r="B9" i="29"/>
  <c r="B11" i="29"/>
  <c r="F9" i="29"/>
  <c r="F11" i="29"/>
  <c r="D41" i="29"/>
  <c r="D44" i="29"/>
  <c r="E45" i="29"/>
  <c r="D45" i="29"/>
  <c r="C42" i="29"/>
  <c r="C45" i="29"/>
  <c r="B45" i="29"/>
  <c r="E44" i="29"/>
  <c r="C44" i="29"/>
  <c r="B44" i="29"/>
  <c r="C29" i="30"/>
  <c r="C32" i="30"/>
  <c r="C41" i="30"/>
  <c r="B32" i="30"/>
  <c r="B41" i="30"/>
  <c r="C6" i="30"/>
  <c r="C11" i="30"/>
  <c r="C10" i="30"/>
  <c r="C7" i="30"/>
  <c r="C19" i="30"/>
  <c r="B10" i="30"/>
  <c r="B11" i="30"/>
  <c r="C13" i="41"/>
  <c r="D13" i="41"/>
  <c r="C4" i="41"/>
  <c r="D4" i="41"/>
  <c r="C7" i="41"/>
  <c r="D7" i="41"/>
  <c r="D10" i="41"/>
  <c r="C5" i="41"/>
  <c r="D5" i="41"/>
  <c r="D16" i="41"/>
  <c r="D19" i="41"/>
  <c r="C9" i="41"/>
  <c r="D9" i="41"/>
  <c r="C8" i="41"/>
  <c r="D8" i="41"/>
  <c r="C14" i="41"/>
  <c r="D14" i="41"/>
  <c r="C16" i="41"/>
  <c r="B16" i="41"/>
  <c r="D11" i="41"/>
  <c r="B6" i="41"/>
  <c r="C6" i="41"/>
  <c r="D6" i="41"/>
  <c r="B3" i="41"/>
  <c r="C3" i="41"/>
  <c r="D3" i="41"/>
  <c r="C18" i="52"/>
  <c r="C60" i="52"/>
  <c r="B27" i="52"/>
  <c r="B26" i="52"/>
  <c r="B36" i="52"/>
  <c r="C37" i="52"/>
  <c r="B82" i="52"/>
  <c r="B30" i="52"/>
  <c r="B18" i="52"/>
  <c r="C69" i="52"/>
  <c r="C67" i="52"/>
  <c r="D76" i="52"/>
  <c r="C72" i="52"/>
  <c r="B76" i="52"/>
  <c r="C82" i="52"/>
  <c r="B107" i="52"/>
  <c r="B108" i="52"/>
  <c r="B96" i="52"/>
  <c r="B95" i="52"/>
  <c r="B91" i="52"/>
  <c r="B4" i="52"/>
  <c r="B7" i="52"/>
  <c r="D70" i="33"/>
  <c r="B70" i="33"/>
  <c r="B54" i="33"/>
  <c r="B73" i="33"/>
  <c r="B74" i="33"/>
  <c r="B77" i="33"/>
  <c r="B78" i="33"/>
  <c r="B83" i="33"/>
  <c r="B56" i="33"/>
  <c r="B66" i="33"/>
  <c r="B69" i="33"/>
  <c r="B94" i="33"/>
  <c r="B65" i="33"/>
  <c r="B53" i="33"/>
  <c r="E42" i="33"/>
  <c r="E46" i="33"/>
  <c r="C42" i="33"/>
  <c r="C46" i="33"/>
  <c r="E47" i="33"/>
  <c r="C47" i="33"/>
  <c r="B28" i="33"/>
  <c r="B29" i="33"/>
  <c r="B27" i="33"/>
  <c r="B21" i="33"/>
  <c r="B22" i="33"/>
  <c r="B15" i="33"/>
  <c r="B16" i="33"/>
  <c r="B17" i="33"/>
  <c r="G18" i="34"/>
  <c r="F18" i="34"/>
  <c r="E18" i="34"/>
  <c r="D18" i="34"/>
  <c r="C18" i="34"/>
  <c r="G15" i="34"/>
  <c r="F15" i="34"/>
  <c r="E15" i="34"/>
  <c r="D15" i="34"/>
  <c r="C15" i="34"/>
  <c r="G9" i="34"/>
  <c r="F9" i="34"/>
  <c r="E9" i="34"/>
  <c r="D9" i="34"/>
  <c r="C9" i="34"/>
  <c r="G23" i="43"/>
  <c r="I23" i="43"/>
  <c r="J23" i="43"/>
  <c r="B24" i="43"/>
  <c r="G24" i="43"/>
  <c r="I24" i="43"/>
  <c r="G25" i="43"/>
  <c r="I25" i="43"/>
  <c r="G26" i="43"/>
  <c r="I26" i="43"/>
  <c r="G27" i="43"/>
  <c r="I27" i="43"/>
  <c r="G28" i="43"/>
  <c r="I28" i="43"/>
  <c r="A24" i="43"/>
  <c r="A25" i="43"/>
  <c r="A26" i="43"/>
  <c r="A27" i="43"/>
  <c r="A28" i="43"/>
  <c r="D23" i="43"/>
  <c r="B6" i="43"/>
  <c r="B19" i="43"/>
  <c r="B13" i="43"/>
  <c r="B14" i="43"/>
  <c r="B10" i="43"/>
  <c r="A50" i="35"/>
  <c r="A51" i="35"/>
  <c r="A52" i="35"/>
  <c r="A63" i="35"/>
  <c r="A71" i="35"/>
  <c r="B73" i="35"/>
  <c r="B72" i="35"/>
  <c r="B71" i="35"/>
  <c r="B70" i="35"/>
  <c r="B69" i="35"/>
  <c r="C32" i="35"/>
  <c r="D32" i="35"/>
  <c r="C33" i="35"/>
  <c r="C38" i="35"/>
  <c r="D38" i="35"/>
  <c r="D33" i="35"/>
  <c r="C34" i="35"/>
  <c r="D34" i="35"/>
  <c r="C35" i="35"/>
  <c r="D40" i="35"/>
  <c r="B42" i="35"/>
  <c r="B44" i="35"/>
  <c r="A60" i="35"/>
  <c r="B60" i="35"/>
  <c r="C60" i="35"/>
  <c r="B61" i="35"/>
  <c r="C61" i="35"/>
  <c r="B62" i="35"/>
  <c r="C62" i="35"/>
  <c r="B63" i="35"/>
  <c r="C63" i="35"/>
  <c r="B64" i="35"/>
  <c r="C64" i="35"/>
  <c r="B65" i="35"/>
  <c r="C65" i="35"/>
  <c r="I28" i="35"/>
  <c r="H28" i="35"/>
  <c r="G28" i="35"/>
  <c r="F28" i="35"/>
  <c r="E28" i="35"/>
  <c r="D28" i="35"/>
  <c r="I27" i="35"/>
  <c r="H27" i="35"/>
  <c r="G27" i="35"/>
  <c r="F27" i="35"/>
  <c r="E27" i="35"/>
  <c r="D27" i="35"/>
  <c r="C27" i="35"/>
  <c r="I24" i="35"/>
  <c r="H24" i="35"/>
  <c r="G24" i="35"/>
  <c r="F24" i="35"/>
  <c r="E24" i="35"/>
  <c r="D24" i="35"/>
  <c r="I23" i="35"/>
  <c r="G23" i="35"/>
  <c r="F23" i="35"/>
  <c r="D23" i="35"/>
  <c r="C23" i="35"/>
  <c r="I20" i="35"/>
  <c r="H20" i="35"/>
  <c r="G20" i="35"/>
  <c r="F20" i="35"/>
  <c r="E20" i="35"/>
  <c r="D20" i="35"/>
  <c r="I19" i="35"/>
  <c r="H19" i="35"/>
  <c r="G19" i="35"/>
  <c r="F19" i="35"/>
  <c r="E19" i="35"/>
  <c r="D19" i="35"/>
  <c r="C19" i="35"/>
  <c r="I16" i="35"/>
  <c r="H16" i="35"/>
  <c r="G16" i="35"/>
  <c r="F16" i="35"/>
  <c r="E16" i="35"/>
  <c r="D16" i="35"/>
  <c r="I15" i="35"/>
  <c r="H15" i="35"/>
  <c r="G15" i="35"/>
  <c r="F15" i="35"/>
  <c r="E15" i="35"/>
  <c r="D15" i="35"/>
  <c r="C15" i="35"/>
  <c r="D12" i="35"/>
  <c r="E12" i="35"/>
  <c r="F12" i="35"/>
  <c r="G12" i="35"/>
  <c r="H12" i="35"/>
  <c r="I12" i="35"/>
  <c r="C3" i="5"/>
  <c r="B4" i="5"/>
  <c r="B9" i="5"/>
  <c r="B11" i="5"/>
  <c r="B12" i="5"/>
  <c r="B19" i="5"/>
  <c r="B20" i="5"/>
  <c r="C40" i="37"/>
  <c r="C23" i="37"/>
  <c r="C41" i="37"/>
  <c r="C42" i="37"/>
  <c r="C43" i="37"/>
  <c r="B40" i="37"/>
  <c r="B23" i="37"/>
  <c r="B41" i="37"/>
  <c r="B42" i="37"/>
  <c r="B43" i="37"/>
  <c r="D40" i="37"/>
  <c r="D23" i="37"/>
  <c r="D41" i="37"/>
  <c r="D42" i="37"/>
  <c r="D43" i="37"/>
  <c r="E40" i="37"/>
  <c r="E23" i="37"/>
  <c r="E41" i="37"/>
  <c r="E42" i="37"/>
  <c r="E43" i="37"/>
  <c r="E45" i="37"/>
  <c r="C7" i="37"/>
  <c r="C12" i="37"/>
  <c r="B7" i="37"/>
  <c r="B12" i="37"/>
  <c r="B66" i="37"/>
  <c r="B65" i="37"/>
  <c r="B49" i="39"/>
  <c r="B53" i="39"/>
  <c r="B54" i="39"/>
  <c r="B22" i="39"/>
  <c r="B21" i="39"/>
  <c r="C28" i="39"/>
  <c r="B28" i="39"/>
  <c r="B19" i="39"/>
  <c r="H14" i="39"/>
  <c r="H13" i="39"/>
  <c r="G14" i="39"/>
  <c r="G13" i="39"/>
  <c r="C9" i="39"/>
  <c r="B9" i="39"/>
  <c r="C8" i="39"/>
  <c r="B8" i="39"/>
  <c r="C7" i="39"/>
  <c r="B7" i="39"/>
  <c r="D33" i="47"/>
  <c r="C33" i="47"/>
  <c r="B33" i="47"/>
  <c r="C28" i="47"/>
  <c r="D28" i="47"/>
  <c r="B15" i="47"/>
  <c r="B11" i="47"/>
  <c r="B10" i="47"/>
  <c r="B12" i="47"/>
  <c r="C6" i="47"/>
  <c r="B6" i="47"/>
  <c r="B4" i="6"/>
  <c r="B13" i="6"/>
  <c r="B41" i="7"/>
  <c r="B42" i="7"/>
  <c r="B43" i="7"/>
  <c r="B44" i="7"/>
  <c r="B45" i="7"/>
  <c r="B46" i="7"/>
  <c r="B47" i="7"/>
  <c r="B49" i="7"/>
  <c r="B50" i="7"/>
  <c r="B51" i="7"/>
  <c r="C21" i="7"/>
  <c r="C41" i="7"/>
  <c r="C42" i="7"/>
  <c r="C43" i="7"/>
  <c r="C44" i="7"/>
  <c r="C45" i="7"/>
  <c r="C46" i="7"/>
  <c r="C47" i="7"/>
  <c r="C49" i="7"/>
  <c r="C50" i="7"/>
  <c r="C51" i="7"/>
  <c r="B29" i="7"/>
  <c r="B27" i="7"/>
  <c r="B26" i="7"/>
  <c r="B30" i="7"/>
  <c r="C26" i="7"/>
  <c r="C28" i="7"/>
  <c r="C29" i="7"/>
  <c r="C27" i="7"/>
  <c r="C30" i="7"/>
  <c r="C34" i="7"/>
  <c r="G31" i="7"/>
  <c r="F29" i="7"/>
  <c r="F28" i="7"/>
  <c r="G26" i="7"/>
  <c r="F32" i="7"/>
  <c r="F31" i="7"/>
  <c r="F26" i="7"/>
  <c r="G33" i="7"/>
  <c r="F33" i="7"/>
  <c r="B21" i="7"/>
  <c r="G8" i="7"/>
  <c r="F8" i="7"/>
  <c r="C8" i="7"/>
  <c r="B8" i="7"/>
  <c r="D37" i="8"/>
  <c r="D38" i="8"/>
  <c r="B43" i="8"/>
  <c r="D23" i="8"/>
  <c r="D25" i="8"/>
  <c r="C23" i="8"/>
  <c r="C25" i="8"/>
  <c r="B23" i="8"/>
  <c r="D24" i="8"/>
  <c r="C24" i="8"/>
  <c r="D16" i="8"/>
  <c r="C16" i="8"/>
  <c r="B16" i="8"/>
  <c r="D15" i="8"/>
  <c r="C15" i="8"/>
  <c r="B15" i="8"/>
  <c r="D14" i="8"/>
  <c r="C14" i="8"/>
  <c r="B14" i="8"/>
  <c r="D13" i="8"/>
  <c r="C13" i="8"/>
  <c r="D18" i="8"/>
  <c r="C18" i="8"/>
  <c r="B18" i="8"/>
  <c r="D17" i="8"/>
  <c r="C17" i="8"/>
  <c r="B17" i="8"/>
  <c r="F27" i="14"/>
  <c r="E27" i="14"/>
  <c r="D27" i="14"/>
  <c r="C27" i="14"/>
  <c r="B27" i="14"/>
  <c r="B13" i="14"/>
  <c r="C4" i="14"/>
  <c r="D4" i="14"/>
  <c r="E4" i="14"/>
  <c r="F4" i="14"/>
  <c r="C21" i="14"/>
  <c r="D21" i="14"/>
  <c r="E21" i="14"/>
  <c r="F21" i="14"/>
  <c r="B102" i="20"/>
  <c r="F102" i="20"/>
  <c r="D102" i="20"/>
  <c r="D103" i="20"/>
  <c r="C105" i="20"/>
  <c r="C106" i="20"/>
  <c r="C107" i="20"/>
  <c r="B117" i="20"/>
  <c r="C206" i="20"/>
  <c r="D206" i="20"/>
  <c r="E206" i="20"/>
  <c r="F206" i="20"/>
  <c r="B202" i="20"/>
  <c r="B68" i="20"/>
  <c r="B69" i="20"/>
  <c r="C46" i="20"/>
  <c r="D46" i="20"/>
  <c r="D48" i="20"/>
  <c r="B4" i="20"/>
  <c r="B5" i="20"/>
  <c r="B6" i="20"/>
  <c r="A179" i="20"/>
  <c r="A180" i="20"/>
  <c r="A181" i="20"/>
  <c r="A182" i="20"/>
  <c r="A183" i="20"/>
  <c r="A184" i="20"/>
  <c r="A185" i="20"/>
  <c r="A186" i="20"/>
  <c r="A187" i="20"/>
  <c r="A188" i="20"/>
  <c r="A189" i="20"/>
  <c r="A190" i="20"/>
  <c r="A191" i="20"/>
  <c r="A192" i="20"/>
  <c r="A193" i="20"/>
  <c r="A194" i="20"/>
  <c r="A195" i="20"/>
  <c r="A196" i="20"/>
  <c r="A197" i="20"/>
  <c r="A198" i="20"/>
  <c r="B166" i="20"/>
  <c r="C166" i="20"/>
  <c r="B165" i="20"/>
  <c r="C165" i="20"/>
  <c r="B164" i="20"/>
  <c r="C164" i="20"/>
  <c r="B163" i="20"/>
  <c r="C163" i="20"/>
  <c r="B162" i="20"/>
  <c r="C162" i="20"/>
  <c r="B161" i="20"/>
  <c r="C161" i="20"/>
  <c r="B160" i="20"/>
  <c r="C160" i="20"/>
  <c r="B159" i="20"/>
  <c r="C159" i="20"/>
  <c r="B158" i="20"/>
  <c r="C158" i="20"/>
  <c r="B157" i="20"/>
  <c r="C157" i="20"/>
  <c r="B156" i="20"/>
  <c r="C156" i="20"/>
  <c r="B155" i="20"/>
  <c r="C155" i="20"/>
  <c r="A157" i="20"/>
  <c r="A158" i="20"/>
  <c r="A159" i="20"/>
  <c r="A160" i="20"/>
  <c r="A161" i="20"/>
  <c r="A162" i="20"/>
  <c r="A163" i="20"/>
  <c r="A164" i="20"/>
  <c r="A165" i="20"/>
  <c r="C143" i="20"/>
  <c r="C144" i="20"/>
  <c r="C142" i="20"/>
  <c r="C141" i="20"/>
  <c r="C140" i="20"/>
  <c r="C139" i="20"/>
  <c r="C138" i="20"/>
  <c r="C137" i="20"/>
  <c r="C136" i="20"/>
  <c r="C135" i="20"/>
  <c r="C134" i="20"/>
  <c r="B134" i="20"/>
  <c r="B142" i="20"/>
  <c r="B141" i="20"/>
  <c r="B140" i="20"/>
  <c r="B139" i="20"/>
  <c r="B138" i="20"/>
  <c r="B137" i="20"/>
  <c r="B136" i="20"/>
  <c r="B135" i="20"/>
  <c r="A136" i="20"/>
  <c r="A137" i="20"/>
  <c r="A138" i="20"/>
  <c r="A139" i="20"/>
  <c r="A140" i="20"/>
  <c r="A141" i="20"/>
  <c r="A142" i="20"/>
  <c r="A143" i="20"/>
  <c r="A144" i="20"/>
  <c r="D88" i="20"/>
  <c r="B87" i="20"/>
  <c r="B88" i="20"/>
  <c r="B78" i="20"/>
  <c r="E78" i="20"/>
  <c r="D78" i="20"/>
  <c r="A118" i="20"/>
  <c r="A119" i="20"/>
  <c r="A120" i="20"/>
  <c r="A121" i="20"/>
  <c r="A122" i="20"/>
  <c r="A123" i="20"/>
  <c r="A103" i="20"/>
  <c r="A104" i="20"/>
  <c r="A105" i="20"/>
  <c r="A106" i="20"/>
  <c r="A107" i="20"/>
  <c r="A108" i="20"/>
  <c r="C79" i="20"/>
  <c r="C80" i="20"/>
  <c r="C81" i="20"/>
  <c r="C118" i="20"/>
  <c r="C117" i="20"/>
  <c r="A88" i="20"/>
  <c r="A89" i="20"/>
  <c r="A90" i="20"/>
  <c r="A79" i="20"/>
  <c r="A80" i="20"/>
  <c r="A81" i="20"/>
  <c r="B61" i="20"/>
  <c r="B56" i="20"/>
  <c r="B47" i="20"/>
  <c r="B48" i="20"/>
  <c r="B28" i="20"/>
  <c r="B29" i="20"/>
  <c r="B20" i="20"/>
  <c r="B13" i="20"/>
  <c r="D24" i="43"/>
  <c r="C83" i="24"/>
  <c r="G82" i="24"/>
  <c r="D8" i="1"/>
  <c r="D9" i="1"/>
  <c r="E8" i="1"/>
  <c r="F8" i="1"/>
  <c r="F9" i="1"/>
  <c r="D18" i="52"/>
  <c r="C21" i="41"/>
  <c r="C22" i="41"/>
  <c r="B82" i="24"/>
  <c r="G8" i="1"/>
  <c r="C8" i="1"/>
  <c r="C9" i="1"/>
  <c r="Y25" i="1"/>
  <c r="B11" i="22"/>
  <c r="B12" i="22"/>
  <c r="B14" i="22"/>
  <c r="E19" i="16"/>
  <c r="C87" i="49"/>
  <c r="G43" i="49"/>
  <c r="G47" i="49"/>
  <c r="D68" i="49"/>
  <c r="D71" i="49"/>
  <c r="F47" i="49"/>
  <c r="C65" i="49"/>
  <c r="C63" i="49"/>
  <c r="C61" i="49"/>
  <c r="C91" i="49"/>
  <c r="C68" i="49"/>
  <c r="F51" i="49"/>
  <c r="C14" i="36"/>
  <c r="C33" i="36"/>
  <c r="C85" i="52"/>
  <c r="B31" i="39"/>
  <c r="B137" i="4"/>
  <c r="B74" i="4"/>
  <c r="B76" i="4"/>
  <c r="E5" i="5"/>
  <c r="E4" i="5"/>
  <c r="D8" i="5"/>
  <c r="E8" i="5"/>
  <c r="E9" i="5"/>
  <c r="C4" i="5"/>
  <c r="C9" i="5"/>
  <c r="C11" i="5"/>
  <c r="C12" i="5"/>
  <c r="D179" i="20"/>
  <c r="C179" i="20"/>
  <c r="C30" i="57"/>
  <c r="E30" i="57"/>
  <c r="F30" i="57"/>
  <c r="B190" i="57"/>
  <c r="E130" i="57"/>
  <c r="B166" i="57"/>
  <c r="F29" i="57"/>
  <c r="B36" i="17"/>
  <c r="B35" i="17"/>
  <c r="F35" i="17"/>
  <c r="F36" i="17"/>
  <c r="E36" i="17"/>
  <c r="D35" i="17"/>
  <c r="D36" i="17"/>
  <c r="C17" i="17"/>
  <c r="C21" i="17"/>
  <c r="C20" i="17"/>
  <c r="C18" i="17"/>
  <c r="C32" i="17"/>
  <c r="C33" i="17"/>
  <c r="E11" i="16"/>
  <c r="F2" i="16"/>
  <c r="F11" i="16"/>
  <c r="B38" i="17"/>
  <c r="B15" i="29"/>
  <c r="B16" i="29"/>
  <c r="E75" i="63429"/>
  <c r="D14" i="63429"/>
  <c r="E27" i="63429"/>
  <c r="D75" i="63429"/>
  <c r="H75" i="63429"/>
  <c r="C14" i="63429"/>
  <c r="G14" i="63429"/>
  <c r="D22" i="63429"/>
  <c r="D27" i="63429"/>
  <c r="D31" i="63429"/>
  <c r="D34" i="63429"/>
  <c r="C75" i="63429"/>
  <c r="G75" i="63429"/>
  <c r="F14" i="63429"/>
  <c r="C22" i="63429"/>
  <c r="G22" i="63429"/>
  <c r="G27" i="63429"/>
  <c r="C31" i="63429"/>
  <c r="G31" i="63429"/>
  <c r="B12" i="30"/>
  <c r="C21" i="30"/>
  <c r="B43" i="30"/>
  <c r="B35" i="30"/>
  <c r="D45" i="37"/>
  <c r="C45" i="37"/>
  <c r="E237" i="21"/>
  <c r="E238" i="21"/>
  <c r="F270" i="21"/>
  <c r="F271" i="21"/>
  <c r="C228" i="21"/>
  <c r="G16" i="21"/>
  <c r="G17" i="21"/>
  <c r="V130" i="21"/>
  <c r="V132" i="21"/>
  <c r="Q135" i="21"/>
  <c r="X130" i="21"/>
  <c r="X132" i="21"/>
  <c r="AE135" i="21"/>
  <c r="D183" i="21"/>
  <c r="D184" i="21"/>
  <c r="C270" i="21"/>
  <c r="E130" i="21"/>
  <c r="E132" i="21"/>
  <c r="E135" i="21"/>
  <c r="G183" i="21"/>
  <c r="E16" i="21"/>
  <c r="E17" i="21"/>
  <c r="I16" i="21"/>
  <c r="I17" i="21"/>
  <c r="O130" i="21"/>
  <c r="O132" i="21"/>
  <c r="AA130" i="21"/>
  <c r="AA132" i="21"/>
  <c r="D104" i="21"/>
  <c r="D105" i="21"/>
  <c r="L104" i="21"/>
  <c r="L105" i="21"/>
  <c r="F130" i="21"/>
  <c r="F132" i="21"/>
  <c r="D270" i="21"/>
  <c r="AB135" i="21"/>
  <c r="L135" i="21"/>
  <c r="M130" i="21"/>
  <c r="M132" i="21"/>
  <c r="Y130" i="21"/>
  <c r="Y132" i="21"/>
  <c r="B172" i="21"/>
  <c r="E270" i="21"/>
  <c r="AD135" i="21"/>
  <c r="N135" i="21"/>
  <c r="D271" i="21"/>
  <c r="A62" i="35"/>
  <c r="A70" i="35"/>
  <c r="D35" i="35"/>
  <c r="B93" i="33"/>
  <c r="B95" i="33"/>
  <c r="B105" i="33"/>
  <c r="A61" i="35"/>
  <c r="A69" i="35"/>
  <c r="H194" i="21"/>
  <c r="C135" i="21"/>
  <c r="C138" i="21"/>
  <c r="R135" i="21"/>
  <c r="H130" i="21"/>
  <c r="H132" i="21"/>
  <c r="U130" i="21"/>
  <c r="P135" i="21"/>
  <c r="AF135" i="21"/>
  <c r="J130" i="21"/>
  <c r="J132" i="21"/>
  <c r="W130" i="21"/>
  <c r="W132" i="21"/>
  <c r="C183" i="21"/>
  <c r="C184" i="21"/>
  <c r="C186" i="21"/>
  <c r="D62" i="21"/>
  <c r="M135" i="21"/>
  <c r="G130" i="21"/>
  <c r="G132" i="21"/>
  <c r="AA135" i="21"/>
  <c r="P130" i="21"/>
  <c r="P132" i="21"/>
  <c r="K130" i="21"/>
  <c r="K132" i="21"/>
  <c r="F135" i="21"/>
  <c r="V135" i="21"/>
  <c r="L130" i="21"/>
  <c r="Q130" i="21"/>
  <c r="Q132" i="21"/>
  <c r="T135" i="21"/>
  <c r="G105" i="21"/>
  <c r="U135" i="21"/>
  <c r="D17" i="21"/>
  <c r="I135" i="21"/>
  <c r="N130" i="21"/>
  <c r="N132" i="21"/>
  <c r="O135" i="21"/>
  <c r="W135" i="21"/>
  <c r="K135" i="21"/>
  <c r="Z130" i="21"/>
  <c r="Z132" i="21"/>
  <c r="G52" i="21"/>
  <c r="T130" i="21"/>
  <c r="T132" i="21"/>
  <c r="J135" i="21"/>
  <c r="Z135" i="21"/>
  <c r="D130" i="21"/>
  <c r="D132" i="21"/>
  <c r="AC130" i="21"/>
  <c r="AC132" i="21"/>
  <c r="H135" i="21"/>
  <c r="X135" i="21"/>
  <c r="AE130" i="21"/>
  <c r="AE132" i="21"/>
  <c r="S130" i="21"/>
  <c r="S132" i="21"/>
  <c r="I183" i="21"/>
  <c r="I184" i="21"/>
  <c r="I186" i="21"/>
  <c r="I194" i="21"/>
  <c r="AC135" i="21"/>
  <c r="S135" i="21"/>
  <c r="AF130" i="21"/>
  <c r="AF132" i="21"/>
  <c r="G135" i="21"/>
  <c r="I130" i="21"/>
  <c r="I132" i="21"/>
  <c r="AD130" i="21"/>
  <c r="AD132" i="21"/>
  <c r="AB130" i="21"/>
  <c r="AB132" i="21"/>
  <c r="Y135" i="21"/>
  <c r="F237" i="21"/>
  <c r="B84" i="21"/>
  <c r="E87" i="21"/>
  <c r="R130" i="21"/>
  <c r="R132" i="21"/>
  <c r="U132" i="21"/>
  <c r="D50" i="21"/>
  <c r="D52" i="21"/>
  <c r="F50" i="21"/>
  <c r="F52" i="21"/>
  <c r="C104" i="21"/>
  <c r="C105" i="21"/>
  <c r="E104" i="21"/>
  <c r="E105" i="21"/>
  <c r="D135" i="21"/>
  <c r="C43" i="51"/>
  <c r="E49" i="37"/>
  <c r="D87" i="21"/>
  <c r="F86" i="21"/>
  <c r="F87" i="21"/>
  <c r="C49" i="37"/>
  <c r="D49" i="37"/>
  <c r="C62" i="49"/>
  <c r="C50" i="49"/>
  <c r="J31" i="4"/>
  <c r="B10" i="4"/>
  <c r="L16" i="24"/>
  <c r="B13" i="24"/>
  <c r="G48" i="49"/>
  <c r="D65" i="49"/>
  <c r="H37" i="4"/>
  <c r="H33" i="4"/>
  <c r="B17" i="47"/>
  <c r="B18" i="47"/>
  <c r="D42" i="35"/>
  <c r="D43" i="35"/>
  <c r="J25" i="1"/>
  <c r="Q25" i="1"/>
  <c r="D8" i="32"/>
  <c r="B8" i="32"/>
  <c r="B128" i="4"/>
  <c r="I17" i="24"/>
  <c r="D16" i="24"/>
  <c r="B80" i="33"/>
  <c r="C13" i="30"/>
  <c r="C49" i="32"/>
  <c r="C53" i="32"/>
  <c r="C57" i="32"/>
  <c r="B70" i="49"/>
  <c r="F54" i="49"/>
  <c r="B16" i="22"/>
  <c r="E82" i="24"/>
  <c r="G34" i="7"/>
  <c r="B55" i="39"/>
  <c r="B45" i="37"/>
  <c r="B49" i="37"/>
  <c r="C53" i="24"/>
  <c r="C54" i="24"/>
  <c r="G25" i="1"/>
  <c r="W25" i="1"/>
  <c r="R25" i="1"/>
  <c r="AJ25" i="1"/>
  <c r="C39" i="49"/>
  <c r="B87" i="49"/>
  <c r="E91" i="49"/>
  <c r="E87" i="49"/>
  <c r="E102" i="49"/>
  <c r="E103" i="49"/>
  <c r="F43" i="49"/>
  <c r="C72" i="49"/>
  <c r="C60" i="49"/>
  <c r="H39" i="4"/>
  <c r="C70" i="52"/>
  <c r="B54" i="17"/>
  <c r="B57" i="17"/>
  <c r="B60" i="17"/>
  <c r="B99" i="17"/>
  <c r="B93" i="17"/>
  <c r="B95" i="17"/>
  <c r="B40" i="8"/>
  <c r="B45" i="8"/>
  <c r="M17" i="24"/>
  <c r="B199" i="57"/>
  <c r="B200" i="57"/>
  <c r="C198" i="57"/>
  <c r="D44" i="35"/>
  <c r="D45" i="35"/>
  <c r="F38" i="17"/>
  <c r="F40" i="17"/>
  <c r="F49" i="49"/>
  <c r="B65" i="49"/>
  <c r="C42" i="35"/>
  <c r="C43" i="35"/>
  <c r="C44" i="35"/>
  <c r="C45" i="35"/>
  <c r="B19" i="52"/>
  <c r="B20" i="52"/>
  <c r="B65" i="52"/>
  <c r="B20" i="24"/>
  <c r="V25" i="1"/>
  <c r="G54" i="49"/>
  <c r="E17" i="24"/>
  <c r="L132" i="21"/>
  <c r="D186" i="21"/>
  <c r="D194" i="21"/>
  <c r="C17" i="21"/>
  <c r="H17" i="21"/>
  <c r="J17" i="21"/>
  <c r="B27" i="21"/>
  <c r="F238" i="21"/>
  <c r="C12" i="30"/>
  <c r="C15" i="30"/>
  <c r="C17" i="30"/>
  <c r="D55" i="32"/>
  <c r="B55" i="36"/>
  <c r="B21" i="52"/>
  <c r="B29" i="52"/>
  <c r="B31" i="52"/>
  <c r="B32" i="52"/>
  <c r="B146" i="20"/>
  <c r="F34" i="7"/>
  <c r="B90" i="33"/>
  <c r="B97" i="33"/>
  <c r="B67" i="33"/>
  <c r="B102" i="33"/>
  <c r="B107" i="33"/>
  <c r="I54" i="24"/>
  <c r="H25" i="1"/>
  <c r="O25" i="1"/>
  <c r="AC25" i="1"/>
  <c r="G45" i="49"/>
  <c r="D71" i="15"/>
  <c r="D73" i="15"/>
  <c r="C39" i="8"/>
  <c r="M16" i="24"/>
  <c r="C92" i="17"/>
  <c r="C36" i="25"/>
  <c r="F25" i="1"/>
  <c r="AI25" i="1"/>
  <c r="D138" i="21"/>
  <c r="B15" i="17"/>
  <c r="B19" i="17"/>
  <c r="B18" i="17"/>
  <c r="E35" i="17"/>
  <c r="E38" i="17"/>
  <c r="E40" i="17"/>
  <c r="F55" i="49"/>
  <c r="B33" i="36"/>
  <c r="F51" i="57"/>
  <c r="B150" i="57"/>
  <c r="D24" i="15"/>
  <c r="C87" i="4"/>
  <c r="E16" i="24"/>
  <c r="L17" i="24"/>
  <c r="G9" i="1"/>
  <c r="C146" i="20"/>
  <c r="D3" i="5"/>
  <c r="J24" i="43"/>
  <c r="B25" i="43"/>
  <c r="C76" i="52"/>
  <c r="E76" i="52"/>
  <c r="D21" i="41"/>
  <c r="D22" i="41"/>
  <c r="D23" i="41"/>
  <c r="L25" i="1"/>
  <c r="T25" i="1"/>
  <c r="AK25" i="1"/>
  <c r="H38" i="4"/>
  <c r="H34" i="4"/>
  <c r="C165" i="4"/>
  <c r="C166" i="4"/>
  <c r="B19" i="34"/>
  <c r="H27" i="63429"/>
  <c r="E19" i="63429"/>
  <c r="E22" i="63429"/>
  <c r="E34" i="63429"/>
  <c r="H14" i="63429"/>
  <c r="H34" i="63429"/>
  <c r="H31" i="63429"/>
  <c r="E31" i="63429"/>
  <c r="B79" i="20"/>
  <c r="E87" i="20"/>
  <c r="C87" i="20"/>
  <c r="C48" i="20"/>
  <c r="C47" i="20"/>
  <c r="C213" i="57"/>
  <c r="B100" i="17"/>
  <c r="C54" i="17"/>
  <c r="C57" i="17"/>
  <c r="C60" i="17"/>
  <c r="C99" i="17"/>
  <c r="G86" i="21"/>
  <c r="G87" i="21"/>
  <c r="H12" i="1"/>
  <c r="D48" i="32"/>
  <c r="E271" i="21"/>
  <c r="B271" i="21"/>
  <c r="E272" i="21"/>
  <c r="E278" i="21"/>
  <c r="B50" i="37"/>
  <c r="F49" i="37"/>
  <c r="E11" i="5"/>
  <c r="E12" i="5"/>
  <c r="D89" i="20"/>
  <c r="B9" i="4"/>
  <c r="B6" i="4"/>
  <c r="B4" i="4"/>
  <c r="D180" i="20"/>
  <c r="C180" i="20"/>
  <c r="E79" i="20"/>
  <c r="D79" i="20"/>
  <c r="B80" i="20"/>
  <c r="B25" i="8"/>
  <c r="B24" i="8"/>
  <c r="B34" i="7"/>
  <c r="C80" i="52"/>
  <c r="D54" i="24"/>
  <c r="D53" i="24"/>
  <c r="G55" i="49"/>
  <c r="D72" i="49"/>
  <c r="B278" i="21"/>
  <c r="G184" i="21"/>
  <c r="G186" i="21"/>
  <c r="G194" i="21"/>
  <c r="D82" i="24"/>
  <c r="D83" i="24"/>
  <c r="E97" i="49"/>
  <c r="E98" i="49"/>
  <c r="H8" i="1"/>
  <c r="C53" i="26"/>
  <c r="D54" i="26"/>
  <c r="A53" i="35"/>
  <c r="B57" i="21"/>
  <c r="F278" i="21"/>
  <c r="D278" i="21"/>
  <c r="E62" i="21"/>
  <c r="C43" i="30"/>
  <c r="B34" i="30"/>
  <c r="C35" i="17"/>
  <c r="C36" i="17"/>
  <c r="C97" i="49"/>
  <c r="C98" i="49"/>
  <c r="C102" i="49"/>
  <c r="C103" i="49"/>
  <c r="E88" i="20"/>
  <c r="C88" i="20"/>
  <c r="B89" i="20"/>
  <c r="C108" i="20"/>
  <c r="B110" i="20"/>
  <c r="B103" i="20"/>
  <c r="M21" i="1"/>
  <c r="M25" i="1"/>
  <c r="D38" i="17"/>
  <c r="D40" i="17"/>
  <c r="B40" i="17"/>
  <c r="E46" i="20"/>
  <c r="D47" i="20"/>
  <c r="C23" i="41"/>
  <c r="B13" i="30"/>
  <c r="B15" i="30"/>
  <c r="B19" i="30"/>
  <c r="B12" i="29"/>
  <c r="J53" i="24"/>
  <c r="J54" i="24"/>
  <c r="E9" i="1"/>
  <c r="H9" i="1"/>
  <c r="D4" i="6"/>
  <c r="D87" i="4"/>
  <c r="D9" i="5"/>
  <c r="B42" i="39"/>
  <c r="F42" i="39"/>
  <c r="B41" i="39"/>
  <c r="F41" i="39"/>
  <c r="F63" i="63429"/>
  <c r="C76" i="63429"/>
  <c r="C271" i="21"/>
  <c r="C272" i="21"/>
  <c r="C278" i="21"/>
  <c r="F117" i="20"/>
  <c r="B118" i="20"/>
  <c r="B52" i="7"/>
  <c r="D25" i="1"/>
  <c r="AA19" i="1"/>
  <c r="AA21" i="1"/>
  <c r="AA25" i="1"/>
  <c r="B15" i="1"/>
  <c r="C8" i="36"/>
  <c r="C17" i="36"/>
  <c r="B14" i="4"/>
  <c r="G11" i="4"/>
  <c r="B133" i="57"/>
  <c r="B137" i="57"/>
  <c r="H53" i="24"/>
  <c r="H54" i="24"/>
  <c r="E25" i="1"/>
  <c r="K25" i="1"/>
  <c r="X25" i="1"/>
  <c r="S25" i="1"/>
  <c r="D33" i="49"/>
  <c r="D39" i="49"/>
  <c r="D91" i="49"/>
  <c r="D66" i="49"/>
  <c r="G49" i="49"/>
  <c r="C41" i="36"/>
  <c r="C43" i="36"/>
  <c r="C51" i="36"/>
  <c r="B34" i="31"/>
  <c r="B35" i="31"/>
  <c r="C26" i="31"/>
  <c r="C27" i="31"/>
  <c r="B38" i="31"/>
  <c r="D66" i="21"/>
  <c r="E128" i="21"/>
  <c r="B7" i="6"/>
  <c r="D62" i="49"/>
  <c r="C19" i="52"/>
  <c r="AD25" i="1"/>
  <c r="D87" i="49"/>
  <c r="D70" i="49"/>
  <c r="G53" i="49"/>
  <c r="B60" i="49"/>
  <c r="B45" i="49"/>
  <c r="B26" i="36"/>
  <c r="B28" i="36"/>
  <c r="B34" i="36"/>
  <c r="B10" i="36"/>
  <c r="B25" i="36"/>
  <c r="E55" i="32"/>
  <c r="E46" i="32"/>
  <c r="B28" i="31"/>
  <c r="F31" i="4"/>
  <c r="B65" i="26"/>
  <c r="B237" i="21"/>
  <c r="C238" i="21"/>
  <c r="C35" i="63428"/>
  <c r="D45" i="63428"/>
  <c r="B140" i="57"/>
  <c r="C13" i="36"/>
  <c r="D50" i="49"/>
  <c r="B53" i="7"/>
  <c r="C48" i="7"/>
  <c r="C52" i="7"/>
  <c r="B98" i="52"/>
  <c r="B99" i="52"/>
  <c r="F54" i="24"/>
  <c r="L53" i="24"/>
  <c r="L54" i="24"/>
  <c r="C22" i="1"/>
  <c r="B23" i="1"/>
  <c r="B91" i="49"/>
  <c r="B71" i="49"/>
  <c r="B68" i="49"/>
  <c r="C38" i="31"/>
  <c r="C39" i="31"/>
  <c r="C28" i="31"/>
  <c r="E83" i="26"/>
  <c r="B85" i="26"/>
  <c r="E85" i="26"/>
  <c r="D88" i="15"/>
  <c r="C31" i="39"/>
  <c r="C30" i="39"/>
  <c r="B13" i="63428"/>
  <c r="B17" i="63428"/>
  <c r="B18" i="63428"/>
  <c r="F7" i="63428"/>
  <c r="G9" i="63428"/>
  <c r="G8" i="63428"/>
  <c r="G7" i="63428"/>
  <c r="F8" i="63428"/>
  <c r="B19" i="63429"/>
  <c r="B14" i="63429"/>
  <c r="B67" i="37"/>
  <c r="D61" i="49"/>
  <c r="B66" i="49"/>
  <c r="B63" i="49"/>
  <c r="D64" i="49"/>
  <c r="B41" i="36"/>
  <c r="B43" i="36"/>
  <c r="B46" i="32"/>
  <c r="B24" i="31"/>
  <c r="B26" i="31"/>
  <c r="B27" i="31"/>
  <c r="B29" i="31"/>
  <c r="D31" i="4"/>
  <c r="J30" i="4"/>
  <c r="B3" i="4"/>
  <c r="G3" i="4"/>
  <c r="H17" i="24"/>
  <c r="F17" i="24"/>
  <c r="J17" i="24"/>
  <c r="N17" i="24"/>
  <c r="C17" i="24"/>
  <c r="G17" i="24"/>
  <c r="K17" i="24"/>
  <c r="D17" i="24"/>
  <c r="H16" i="24"/>
  <c r="F16" i="24"/>
  <c r="J16" i="24"/>
  <c r="N16" i="24"/>
  <c r="C16" i="24"/>
  <c r="G16" i="24"/>
  <c r="K16" i="24"/>
  <c r="I16" i="24"/>
  <c r="E183" i="21"/>
  <c r="F183" i="21"/>
  <c r="C41" i="51"/>
  <c r="C160" i="4"/>
  <c r="D46" i="63428"/>
  <c r="B45" i="63428"/>
  <c r="C11" i="63428"/>
  <c r="C17" i="63428"/>
  <c r="C18" i="63428"/>
  <c r="H9" i="63428"/>
  <c r="I13" i="63429"/>
  <c r="H19" i="63429"/>
  <c r="D20" i="15"/>
  <c r="B58" i="47"/>
  <c r="B82" i="47"/>
  <c r="B85" i="47"/>
  <c r="B87" i="47"/>
  <c r="B160" i="4"/>
  <c r="B165" i="4"/>
  <c r="B166" i="4"/>
  <c r="F31" i="63429"/>
  <c r="F27" i="63429"/>
  <c r="F19" i="63429"/>
  <c r="F34" i="63429"/>
  <c r="B65" i="63429"/>
  <c r="E64" i="63429"/>
  <c r="B33" i="30"/>
  <c r="B37" i="30"/>
  <c r="C27" i="30"/>
  <c r="C33" i="30"/>
  <c r="B8" i="23"/>
  <c r="B9" i="23"/>
  <c r="G34" i="63429"/>
  <c r="B153" i="21"/>
  <c r="D145" i="21"/>
  <c r="B87" i="21"/>
  <c r="C87" i="21"/>
  <c r="B109" i="21"/>
  <c r="C45" i="51"/>
  <c r="B81" i="33"/>
  <c r="C16" i="30"/>
  <c r="C18" i="30"/>
  <c r="D25" i="43"/>
  <c r="J25" i="43"/>
  <c r="B26" i="43"/>
  <c r="C43" i="8"/>
  <c r="C45" i="8"/>
  <c r="C40" i="8"/>
  <c r="D39" i="8"/>
  <c r="C56" i="32"/>
  <c r="C67" i="49"/>
  <c r="C52" i="49"/>
  <c r="D27" i="15"/>
  <c r="B23" i="21"/>
  <c r="B27" i="36"/>
  <c r="C75" i="52"/>
  <c r="C77" i="52"/>
  <c r="B67" i="52"/>
  <c r="B66" i="52"/>
  <c r="D198" i="57"/>
  <c r="C199" i="57"/>
  <c r="C200" i="57"/>
  <c r="B46" i="8"/>
  <c r="B44" i="8"/>
  <c r="C214" i="57"/>
  <c r="C215" i="57"/>
  <c r="D213" i="57"/>
  <c r="B96" i="17"/>
  <c r="B105" i="52"/>
  <c r="B109" i="52"/>
  <c r="B100" i="52"/>
  <c r="F118" i="20"/>
  <c r="B119" i="20"/>
  <c r="D181" i="20"/>
  <c r="C181" i="20"/>
  <c r="E48" i="20"/>
  <c r="E47" i="20"/>
  <c r="F46" i="20"/>
  <c r="C38" i="17"/>
  <c r="C40" i="17"/>
  <c r="F62" i="21"/>
  <c r="F66" i="21"/>
  <c r="E66" i="21"/>
  <c r="C83" i="52"/>
  <c r="C78" i="52"/>
  <c r="E80" i="20"/>
  <c r="D80" i="20"/>
  <c r="B81" i="20"/>
  <c r="E81" i="20"/>
  <c r="D81" i="20"/>
  <c r="B97" i="49"/>
  <c r="B98" i="49"/>
  <c r="B102" i="49"/>
  <c r="B103" i="49"/>
  <c r="H31" i="4"/>
  <c r="B11" i="4"/>
  <c r="B8" i="4"/>
  <c r="B36" i="31"/>
  <c r="B37" i="31"/>
  <c r="B39" i="31"/>
  <c r="D39" i="31"/>
  <c r="C273" i="21"/>
  <c r="F64" i="63429"/>
  <c r="D76" i="63429"/>
  <c r="B50" i="63428"/>
  <c r="F49" i="63428"/>
  <c r="B46" i="63428"/>
  <c r="B47" i="63428"/>
  <c r="F184" i="21"/>
  <c r="F186" i="21"/>
  <c r="F194" i="21"/>
  <c r="B18" i="24"/>
  <c r="B22" i="24"/>
  <c r="B231" i="21"/>
  <c r="E229" i="21"/>
  <c r="F229" i="21"/>
  <c r="C229" i="21"/>
  <c r="F128" i="21"/>
  <c r="E136" i="21"/>
  <c r="E138" i="21"/>
  <c r="C55" i="36"/>
  <c r="C52" i="36"/>
  <c r="D102" i="49"/>
  <c r="D103" i="49"/>
  <c r="D97" i="49"/>
  <c r="D98" i="49"/>
  <c r="B54" i="7"/>
  <c r="D11" i="5"/>
  <c r="D12" i="5"/>
  <c r="C7" i="6"/>
  <c r="C35" i="30"/>
  <c r="C34" i="30"/>
  <c r="C37" i="30"/>
  <c r="D272" i="21"/>
  <c r="F272" i="21"/>
  <c r="B272" i="21"/>
  <c r="D90" i="20"/>
  <c r="B52" i="37"/>
  <c r="B54" i="37"/>
  <c r="I12" i="1"/>
  <c r="B92" i="47"/>
  <c r="D92" i="47"/>
  <c r="B95" i="47"/>
  <c r="D95" i="47"/>
  <c r="B90" i="47"/>
  <c r="D90" i="47"/>
  <c r="C94" i="17"/>
  <c r="C95" i="17"/>
  <c r="C96" i="17"/>
  <c r="C100" i="17"/>
  <c r="B7" i="4"/>
  <c r="D67" i="49"/>
  <c r="G50" i="49"/>
  <c r="D52" i="49"/>
  <c r="C26" i="36"/>
  <c r="C28" i="36"/>
  <c r="C19" i="36"/>
  <c r="C10" i="36"/>
  <c r="C25" i="36"/>
  <c r="B16" i="30"/>
  <c r="B18" i="30"/>
  <c r="B17" i="30"/>
  <c r="F103" i="20"/>
  <c r="B104" i="20"/>
  <c r="B38" i="30"/>
  <c r="B40" i="30"/>
  <c r="B39" i="30"/>
  <c r="C15" i="36"/>
  <c r="C47" i="36"/>
  <c r="D53" i="26"/>
  <c r="D55" i="26"/>
  <c r="C59" i="26"/>
  <c r="B61" i="26"/>
  <c r="C55" i="26"/>
  <c r="C194" i="21"/>
  <c r="D195" i="21"/>
  <c r="C187" i="21"/>
  <c r="D187" i="21"/>
  <c r="C81" i="52"/>
  <c r="D80" i="52"/>
  <c r="G9" i="4"/>
  <c r="G8" i="4"/>
  <c r="E277" i="21"/>
  <c r="E280" i="21"/>
  <c r="E65" i="63429"/>
  <c r="F65" i="63429"/>
  <c r="B66" i="63429"/>
  <c r="I75" i="63429"/>
  <c r="I22" i="63429"/>
  <c r="I31" i="63429"/>
  <c r="I27" i="63429"/>
  <c r="B29" i="63429"/>
  <c r="I19" i="63429"/>
  <c r="I14" i="63429"/>
  <c r="B16" i="63429"/>
  <c r="I34" i="63429"/>
  <c r="E184" i="21"/>
  <c r="E186" i="21"/>
  <c r="G17" i="4"/>
  <c r="B48" i="32"/>
  <c r="C25" i="1"/>
  <c r="B22" i="1"/>
  <c r="C195" i="21"/>
  <c r="E48" i="32"/>
  <c r="E49" i="32"/>
  <c r="B50" i="49"/>
  <c r="F45" i="49"/>
  <c r="B62" i="49"/>
  <c r="C20" i="52"/>
  <c r="C21" i="52"/>
  <c r="C29" i="31"/>
  <c r="D29" i="31"/>
  <c r="E89" i="20"/>
  <c r="C89" i="20"/>
  <c r="B90" i="20"/>
  <c r="E90" i="20"/>
  <c r="A64" i="35"/>
  <c r="A72" i="35"/>
  <c r="A54" i="35"/>
  <c r="A65" i="35"/>
  <c r="A73" i="35"/>
  <c r="E145" i="21"/>
  <c r="D7" i="6"/>
  <c r="E273" i="21"/>
  <c r="D49" i="32"/>
  <c r="C20" i="30"/>
  <c r="E195" i="21"/>
  <c r="F195" i="21"/>
  <c r="C69" i="49"/>
  <c r="C56" i="49"/>
  <c r="C73" i="49"/>
  <c r="C46" i="8"/>
  <c r="C44" i="8"/>
  <c r="D40" i="8"/>
  <c r="D26" i="43"/>
  <c r="J26" i="43"/>
  <c r="B27" i="43"/>
  <c r="C27" i="36"/>
  <c r="D199" i="57"/>
  <c r="D200" i="57"/>
  <c r="E198" i="57"/>
  <c r="B75" i="52"/>
  <c r="B77" i="52"/>
  <c r="B85" i="52"/>
  <c r="B68" i="52"/>
  <c r="B70" i="52"/>
  <c r="D214" i="57"/>
  <c r="D215" i="57"/>
  <c r="E213" i="57"/>
  <c r="B35" i="63429"/>
  <c r="B32" i="63429"/>
  <c r="B36" i="63429"/>
  <c r="B67" i="63429"/>
  <c r="E66" i="63429"/>
  <c r="F66" i="63429"/>
  <c r="F136" i="21"/>
  <c r="F138" i="21"/>
  <c r="G128" i="21"/>
  <c r="C84" i="52"/>
  <c r="D119" i="20"/>
  <c r="F119" i="20"/>
  <c r="E119" i="20"/>
  <c r="B20" i="63429"/>
  <c r="B24" i="63429"/>
  <c r="B23" i="63429"/>
  <c r="H195" i="21"/>
  <c r="C90" i="20"/>
  <c r="D91" i="20"/>
  <c r="F277" i="21"/>
  <c r="F280" i="21"/>
  <c r="F273" i="21"/>
  <c r="C235" i="21"/>
  <c r="C236" i="21"/>
  <c r="C241" i="21"/>
  <c r="C230" i="21"/>
  <c r="C231" i="21"/>
  <c r="C240" i="21"/>
  <c r="G46" i="20"/>
  <c r="F48" i="20"/>
  <c r="F47" i="20"/>
  <c r="D53" i="32"/>
  <c r="D57" i="32"/>
  <c r="D56" i="32"/>
  <c r="B210" i="21"/>
  <c r="B17" i="63429"/>
  <c r="E76" i="63429"/>
  <c r="G195" i="21"/>
  <c r="B189" i="21"/>
  <c r="B42" i="30"/>
  <c r="B20" i="30"/>
  <c r="C34" i="36"/>
  <c r="B13" i="4"/>
  <c r="B17" i="4"/>
  <c r="D20" i="4"/>
  <c r="D273" i="21"/>
  <c r="D277" i="21"/>
  <c r="D280" i="21"/>
  <c r="F145" i="21"/>
  <c r="D82" i="20"/>
  <c r="G62" i="21"/>
  <c r="B69" i="21"/>
  <c r="E53" i="32"/>
  <c r="E56" i="32"/>
  <c r="F104" i="20"/>
  <c r="E104" i="20"/>
  <c r="D104" i="20"/>
  <c r="B105" i="20"/>
  <c r="C39" i="30"/>
  <c r="C38" i="30"/>
  <c r="C40" i="30"/>
  <c r="B277" i="21"/>
  <c r="B280" i="21"/>
  <c r="B273" i="21"/>
  <c r="B274" i="21"/>
  <c r="E230" i="21"/>
  <c r="E231" i="21"/>
  <c r="E240" i="21"/>
  <c r="E235" i="21"/>
  <c r="E236" i="21"/>
  <c r="E241" i="21"/>
  <c r="D182" i="20"/>
  <c r="C182" i="20"/>
  <c r="F76" i="63429"/>
  <c r="F17" i="52"/>
  <c r="C42" i="52"/>
  <c r="C44" i="52"/>
  <c r="F50" i="49"/>
  <c r="B52" i="49"/>
  <c r="B67" i="49"/>
  <c r="B49" i="32"/>
  <c r="E194" i="21"/>
  <c r="I195" i="21"/>
  <c r="E187" i="21"/>
  <c r="F187" i="21"/>
  <c r="G187" i="21"/>
  <c r="H187" i="21"/>
  <c r="I187" i="21"/>
  <c r="J187" i="21"/>
  <c r="D69" i="49"/>
  <c r="G52" i="49"/>
  <c r="D56" i="49"/>
  <c r="J12" i="1"/>
  <c r="F230" i="21"/>
  <c r="F231" i="21"/>
  <c r="F240" i="21"/>
  <c r="F235" i="21"/>
  <c r="F236" i="21"/>
  <c r="F241" i="21"/>
  <c r="B25" i="24"/>
  <c r="B23" i="24"/>
  <c r="C277" i="21"/>
  <c r="C280" i="21"/>
  <c r="F244" i="21"/>
  <c r="C244" i="21"/>
  <c r="D274" i="21"/>
  <c r="B83" i="52"/>
  <c r="B78" i="52"/>
  <c r="D27" i="43"/>
  <c r="J27" i="43"/>
  <c r="B28" i="43"/>
  <c r="E274" i="21"/>
  <c r="E199" i="57"/>
  <c r="E200" i="57"/>
  <c r="F198" i="57"/>
  <c r="E214" i="57"/>
  <c r="E215" i="57"/>
  <c r="F213" i="57"/>
  <c r="F105" i="20"/>
  <c r="E105" i="20"/>
  <c r="D105" i="20"/>
  <c r="B106" i="20"/>
  <c r="G47" i="20"/>
  <c r="G48" i="20"/>
  <c r="H46" i="20"/>
  <c r="B191" i="21"/>
  <c r="C48" i="52"/>
  <c r="C45" i="52"/>
  <c r="C49" i="52"/>
  <c r="E244" i="21"/>
  <c r="G145" i="21"/>
  <c r="F18" i="52"/>
  <c r="E19" i="52"/>
  <c r="G66" i="21"/>
  <c r="C274" i="21"/>
  <c r="K12" i="1"/>
  <c r="E57" i="32"/>
  <c r="C119" i="20"/>
  <c r="D120" i="20"/>
  <c r="G136" i="21"/>
  <c r="G138" i="21"/>
  <c r="H128" i="21"/>
  <c r="G56" i="49"/>
  <c r="D73" i="49"/>
  <c r="B53" i="32"/>
  <c r="B57" i="32"/>
  <c r="C42" i="30"/>
  <c r="D23" i="4"/>
  <c r="D24" i="4"/>
  <c r="D26" i="4"/>
  <c r="H145" i="21"/>
  <c r="B56" i="49"/>
  <c r="F52" i="49"/>
  <c r="B69" i="49"/>
  <c r="D183" i="20"/>
  <c r="C183" i="20"/>
  <c r="B71" i="21"/>
  <c r="F274" i="21"/>
  <c r="B120" i="20"/>
  <c r="E67" i="63429"/>
  <c r="B68" i="63429"/>
  <c r="J28" i="43"/>
  <c r="D28" i="43"/>
  <c r="F199" i="57"/>
  <c r="F200" i="57"/>
  <c r="G198" i="57"/>
  <c r="B84" i="52"/>
  <c r="D83" i="52"/>
  <c r="F214" i="57"/>
  <c r="F215" i="57"/>
  <c r="G213" i="57"/>
  <c r="F106" i="20"/>
  <c r="E106" i="20"/>
  <c r="D106" i="20"/>
  <c r="D184" i="20"/>
  <c r="C184" i="20"/>
  <c r="F67" i="63429"/>
  <c r="G76" i="63429"/>
  <c r="I128" i="21"/>
  <c r="H136" i="21"/>
  <c r="H138" i="21"/>
  <c r="B121" i="20"/>
  <c r="F120" i="20"/>
  <c r="E120" i="20"/>
  <c r="C120" i="20"/>
  <c r="B56" i="32"/>
  <c r="C50" i="52"/>
  <c r="C52" i="52"/>
  <c r="H48" i="20"/>
  <c r="H47" i="20"/>
  <c r="I46" i="20"/>
  <c r="D121" i="20"/>
  <c r="L12" i="1"/>
  <c r="B69" i="63429"/>
  <c r="E69" i="63429"/>
  <c r="F69" i="63429"/>
  <c r="E68" i="63429"/>
  <c r="B73" i="49"/>
  <c r="F56" i="49"/>
  <c r="B264" i="21"/>
  <c r="C46" i="52"/>
  <c r="G199" i="57"/>
  <c r="G200" i="57"/>
  <c r="H198" i="57"/>
  <c r="I76" i="63429"/>
  <c r="G214" i="57"/>
  <c r="G215" i="57"/>
  <c r="H213" i="57"/>
  <c r="J128" i="21"/>
  <c r="J145" i="21"/>
  <c r="I136" i="21"/>
  <c r="I138" i="21"/>
  <c r="D185" i="20"/>
  <c r="C185" i="20"/>
  <c r="M12" i="1"/>
  <c r="J46" i="20"/>
  <c r="I47" i="20"/>
  <c r="I48" i="20"/>
  <c r="F68" i="63429"/>
  <c r="H76" i="63429"/>
  <c r="B77" i="63429"/>
  <c r="F121" i="20"/>
  <c r="E121" i="20"/>
  <c r="C121" i="20"/>
  <c r="B122" i="20"/>
  <c r="D122" i="20"/>
  <c r="I145" i="21"/>
  <c r="B107" i="20"/>
  <c r="H199" i="57"/>
  <c r="H200" i="57"/>
  <c r="I198" i="57"/>
  <c r="H214" i="57"/>
  <c r="H215" i="57"/>
  <c r="I213" i="57"/>
  <c r="D186" i="20"/>
  <c r="C186" i="20"/>
  <c r="D123" i="20"/>
  <c r="N12" i="1"/>
  <c r="K128" i="21"/>
  <c r="J136" i="21"/>
  <c r="J138" i="21"/>
  <c r="F107" i="20"/>
  <c r="E107" i="20"/>
  <c r="D107" i="20"/>
  <c r="B108" i="20"/>
  <c r="F108" i="20"/>
  <c r="E108" i="20"/>
  <c r="D108" i="20"/>
  <c r="D109" i="20"/>
  <c r="B123" i="20"/>
  <c r="F123" i="20"/>
  <c r="E123" i="20"/>
  <c r="F122" i="20"/>
  <c r="E122" i="20"/>
  <c r="C122" i="20"/>
  <c r="J48" i="20"/>
  <c r="K46" i="20"/>
  <c r="J47" i="20"/>
  <c r="O12" i="1"/>
  <c r="I199" i="57"/>
  <c r="I200" i="57"/>
  <c r="J198" i="57"/>
  <c r="I214" i="57"/>
  <c r="I215" i="57"/>
  <c r="J213" i="57"/>
  <c r="C123" i="20"/>
  <c r="B125" i="20"/>
  <c r="D187" i="20"/>
  <c r="C187" i="20"/>
  <c r="L46" i="20"/>
  <c r="K47" i="20"/>
  <c r="K48" i="20"/>
  <c r="K136" i="21"/>
  <c r="K138" i="21"/>
  <c r="L128" i="21"/>
  <c r="K145" i="21"/>
  <c r="D124" i="20"/>
  <c r="P12" i="1"/>
  <c r="J199" i="57"/>
  <c r="J200" i="57"/>
  <c r="K198" i="57"/>
  <c r="J214" i="57"/>
  <c r="J215" i="57"/>
  <c r="K213" i="57"/>
  <c r="D188" i="20"/>
  <c r="C188" i="20"/>
  <c r="L48" i="20"/>
  <c r="M46" i="20"/>
  <c r="L47" i="20"/>
  <c r="M128" i="21"/>
  <c r="L136" i="21"/>
  <c r="L138" i="21"/>
  <c r="L145" i="21"/>
  <c r="K199" i="57"/>
  <c r="K200" i="57"/>
  <c r="L198" i="57"/>
  <c r="Q12" i="1"/>
  <c r="K214" i="57"/>
  <c r="K215" i="57"/>
  <c r="L213" i="57"/>
  <c r="B19" i="1"/>
  <c r="B21" i="1"/>
  <c r="M48" i="20"/>
  <c r="N46" i="20"/>
  <c r="M47" i="20"/>
  <c r="D189" i="20"/>
  <c r="C189" i="20"/>
  <c r="M136" i="21"/>
  <c r="M138" i="21"/>
  <c r="N128" i="21"/>
  <c r="M145" i="21"/>
  <c r="R12" i="1"/>
  <c r="M198" i="57"/>
  <c r="L199" i="57"/>
  <c r="L200" i="57"/>
  <c r="L214" i="57"/>
  <c r="L215" i="57"/>
  <c r="M213" i="57"/>
  <c r="B25" i="1"/>
  <c r="D190" i="20"/>
  <c r="C190" i="20"/>
  <c r="N48" i="20"/>
  <c r="N47" i="20"/>
  <c r="N136" i="21"/>
  <c r="N138" i="21"/>
  <c r="O128" i="21"/>
  <c r="N145" i="21"/>
  <c r="N198" i="57"/>
  <c r="M199" i="57"/>
  <c r="M200" i="57"/>
  <c r="S12" i="1"/>
  <c r="M214" i="57"/>
  <c r="M215" i="57"/>
  <c r="N213" i="57"/>
  <c r="O136" i="21"/>
  <c r="O138" i="21"/>
  <c r="P128" i="21"/>
  <c r="O145" i="21"/>
  <c r="D191" i="20"/>
  <c r="C191" i="20"/>
  <c r="T12" i="1"/>
  <c r="O198" i="57"/>
  <c r="N199" i="57"/>
  <c r="N200" i="57"/>
  <c r="N214" i="57"/>
  <c r="N215" i="57"/>
  <c r="O213" i="57"/>
  <c r="D192" i="20"/>
  <c r="C192" i="20"/>
  <c r="P136" i="21"/>
  <c r="P138" i="21"/>
  <c r="Q128" i="21"/>
  <c r="P145" i="21"/>
  <c r="P198" i="57"/>
  <c r="O199" i="57"/>
  <c r="O200" i="57"/>
  <c r="U12" i="1"/>
  <c r="O214" i="57"/>
  <c r="O215" i="57"/>
  <c r="P213" i="57"/>
  <c r="D193" i="20"/>
  <c r="C193" i="20"/>
  <c r="Q136" i="21"/>
  <c r="Q138" i="21"/>
  <c r="R128" i="21"/>
  <c r="Q145" i="21"/>
  <c r="V12" i="1"/>
  <c r="Q198" i="57"/>
  <c r="P199" i="57"/>
  <c r="P200" i="57"/>
  <c r="P214" i="57"/>
  <c r="P215" i="57"/>
  <c r="Q213" i="57"/>
  <c r="D194" i="20"/>
  <c r="C194" i="20"/>
  <c r="R136" i="21"/>
  <c r="R138" i="21"/>
  <c r="S128" i="21"/>
  <c r="R145" i="21"/>
  <c r="R198" i="57"/>
  <c r="Q199" i="57"/>
  <c r="Q200" i="57"/>
  <c r="W12" i="1"/>
  <c r="Q214" i="57"/>
  <c r="Q215" i="57"/>
  <c r="R213" i="57"/>
  <c r="D195" i="20"/>
  <c r="C195" i="20"/>
  <c r="S136" i="21"/>
  <c r="S138" i="21"/>
  <c r="T128" i="21"/>
  <c r="S145" i="21"/>
  <c r="X12" i="1"/>
  <c r="S198" i="57"/>
  <c r="R199" i="57"/>
  <c r="R200" i="57"/>
  <c r="R214" i="57"/>
  <c r="R215" i="57"/>
  <c r="S213" i="57"/>
  <c r="D196" i="20"/>
  <c r="C196" i="20"/>
  <c r="T136" i="21"/>
  <c r="T138" i="21"/>
  <c r="U128" i="21"/>
  <c r="T145" i="21"/>
  <c r="T198" i="57"/>
  <c r="S199" i="57"/>
  <c r="S200" i="57"/>
  <c r="Y12" i="1"/>
  <c r="Z12" i="1"/>
  <c r="AA12" i="1"/>
  <c r="AB12" i="1"/>
  <c r="AC12" i="1"/>
  <c r="AD12" i="1"/>
  <c r="AE12" i="1"/>
  <c r="AF12" i="1"/>
  <c r="AG12" i="1"/>
  <c r="AH12" i="1"/>
  <c r="AI12" i="1"/>
  <c r="AJ12" i="1"/>
  <c r="AK12" i="1"/>
  <c r="AL12" i="1"/>
  <c r="D36" i="1"/>
  <c r="C33" i="1"/>
  <c r="C39" i="1"/>
  <c r="C35" i="1"/>
  <c r="S214" i="57"/>
  <c r="S215" i="57"/>
  <c r="T213" i="57"/>
  <c r="D197" i="20"/>
  <c r="C197" i="20"/>
  <c r="U136" i="21"/>
  <c r="U138" i="21"/>
  <c r="V128" i="21"/>
  <c r="U145" i="21"/>
  <c r="D29" i="1"/>
  <c r="B77" i="4"/>
  <c r="D33" i="1"/>
  <c r="E33" i="1"/>
  <c r="B33" i="1"/>
  <c r="C77" i="4"/>
  <c r="C91" i="4"/>
  <c r="C18" i="5"/>
  <c r="D32" i="1"/>
  <c r="E29" i="1"/>
  <c r="D28" i="1"/>
  <c r="C68" i="4"/>
  <c r="D37" i="1"/>
  <c r="E36" i="1"/>
  <c r="E28" i="1"/>
  <c r="D68" i="4"/>
  <c r="E32" i="1"/>
  <c r="D30" i="1"/>
  <c r="E39" i="1"/>
  <c r="C30" i="1"/>
  <c r="E37" i="1"/>
  <c r="D38" i="1"/>
  <c r="D31" i="1"/>
  <c r="C36" i="1"/>
  <c r="B36" i="1"/>
  <c r="D77" i="4"/>
  <c r="D91" i="4"/>
  <c r="E31" i="1"/>
  <c r="C32" i="1"/>
  <c r="C37" i="1"/>
  <c r="E35" i="1"/>
  <c r="D35" i="1"/>
  <c r="B35" i="1"/>
  <c r="C34" i="1"/>
  <c r="E30" i="1"/>
  <c r="C29" i="1"/>
  <c r="B29" i="1"/>
  <c r="C31" i="1"/>
  <c r="D34" i="1"/>
  <c r="C9" i="6"/>
  <c r="C28" i="1"/>
  <c r="B28" i="1"/>
  <c r="E38" i="1"/>
  <c r="D39" i="1"/>
  <c r="B39" i="1"/>
  <c r="E34" i="1"/>
  <c r="D9" i="6"/>
  <c r="C38" i="1"/>
  <c r="U198" i="57"/>
  <c r="T199" i="57"/>
  <c r="T200" i="57"/>
  <c r="T214" i="57"/>
  <c r="T215" i="57"/>
  <c r="U213" i="57"/>
  <c r="D198" i="20"/>
  <c r="C198" i="20"/>
  <c r="V136" i="21"/>
  <c r="V138" i="21"/>
  <c r="W128" i="21"/>
  <c r="V145" i="21"/>
  <c r="C16" i="5"/>
  <c r="C19" i="5"/>
  <c r="D16" i="5"/>
  <c r="E16" i="5"/>
  <c r="C67" i="4"/>
  <c r="C74" i="4"/>
  <c r="C76" i="4"/>
  <c r="C78" i="4"/>
  <c r="C80" i="4"/>
  <c r="C3" i="6"/>
  <c r="C86" i="4"/>
  <c r="C90" i="4"/>
  <c r="C92" i="4"/>
  <c r="C94" i="4"/>
  <c r="B91" i="4"/>
  <c r="B92" i="4"/>
  <c r="B94" i="4"/>
  <c r="B78" i="4"/>
  <c r="B80" i="4"/>
  <c r="V198" i="57"/>
  <c r="U199" i="57"/>
  <c r="U200" i="57"/>
  <c r="B9" i="6"/>
  <c r="B34" i="1"/>
  <c r="D67" i="4"/>
  <c r="D74" i="4"/>
  <c r="D76" i="4"/>
  <c r="D78" i="4"/>
  <c r="D80" i="4"/>
  <c r="D3" i="6"/>
  <c r="D86" i="4"/>
  <c r="D90" i="4"/>
  <c r="D92" i="4"/>
  <c r="D94" i="4"/>
  <c r="B19" i="6"/>
  <c r="B20" i="6"/>
  <c r="D18" i="5"/>
  <c r="U214" i="57"/>
  <c r="U215" i="57"/>
  <c r="V213" i="57"/>
  <c r="W136" i="21"/>
  <c r="W138" i="21"/>
  <c r="X128" i="21"/>
  <c r="W145" i="21"/>
  <c r="C6" i="6"/>
  <c r="C8" i="6"/>
  <c r="C11" i="6"/>
  <c r="C14" i="6"/>
  <c r="C19" i="6"/>
  <c r="E18" i="5"/>
  <c r="D19" i="6"/>
  <c r="C14" i="5"/>
  <c r="B3" i="6"/>
  <c r="D16" i="6"/>
  <c r="D20" i="6"/>
  <c r="E19" i="5"/>
  <c r="C16" i="6"/>
  <c r="D19" i="5"/>
  <c r="D14" i="6"/>
  <c r="D6" i="6"/>
  <c r="D8" i="6"/>
  <c r="D11" i="6"/>
  <c r="W198" i="57"/>
  <c r="V199" i="57"/>
  <c r="V200" i="57"/>
  <c r="V214" i="57"/>
  <c r="V215" i="57"/>
  <c r="W213" i="57"/>
  <c r="X136" i="21"/>
  <c r="X138" i="21"/>
  <c r="Y128" i="21"/>
  <c r="X145" i="21"/>
  <c r="B14" i="6"/>
  <c r="B6" i="6"/>
  <c r="B8" i="6"/>
  <c r="B11" i="6"/>
  <c r="W199" i="57"/>
  <c r="W200" i="57"/>
  <c r="X198" i="57"/>
  <c r="C20" i="6"/>
  <c r="C20" i="5"/>
  <c r="D14" i="5"/>
  <c r="W214" i="57"/>
  <c r="W215" i="57"/>
  <c r="X213" i="57"/>
  <c r="Y136" i="21"/>
  <c r="Y138" i="21"/>
  <c r="Z128" i="21"/>
  <c r="Y145" i="21"/>
  <c r="Y198" i="57"/>
  <c r="X199" i="57"/>
  <c r="X200" i="57"/>
  <c r="E14" i="5"/>
  <c r="E20" i="5"/>
  <c r="D20" i="5"/>
  <c r="X214" i="57"/>
  <c r="X215" i="57"/>
  <c r="Y213" i="57"/>
  <c r="Z136" i="21"/>
  <c r="Z138" i="21"/>
  <c r="AA128" i="21"/>
  <c r="Z145" i="21"/>
  <c r="Y199" i="57"/>
  <c r="Y200" i="57"/>
  <c r="Z198" i="57"/>
  <c r="Y214" i="57"/>
  <c r="Y215" i="57"/>
  <c r="Z213" i="57"/>
  <c r="AA136" i="21"/>
  <c r="AA138" i="21"/>
  <c r="AB128" i="21"/>
  <c r="AA145" i="21"/>
  <c r="AA198" i="57"/>
  <c r="Z199" i="57"/>
  <c r="Z200" i="57"/>
  <c r="Z214" i="57"/>
  <c r="Z215" i="57"/>
  <c r="AA213" i="57"/>
  <c r="AB136" i="21"/>
  <c r="AB138" i="21"/>
  <c r="AC128" i="21"/>
  <c r="AB145" i="21"/>
  <c r="AA199" i="57"/>
  <c r="AA200" i="57"/>
  <c r="AB198" i="57"/>
  <c r="AA214" i="57"/>
  <c r="AA215" i="57"/>
  <c r="AB213" i="57"/>
  <c r="AC136" i="21"/>
  <c r="AC138" i="21"/>
  <c r="AD128" i="21"/>
  <c r="AC145" i="21"/>
  <c r="AC198" i="57"/>
  <c r="AB199" i="57"/>
  <c r="AB200" i="57"/>
  <c r="AB214" i="57"/>
  <c r="AB215" i="57"/>
  <c r="AC213" i="57"/>
  <c r="AD136" i="21"/>
  <c r="AD138" i="21"/>
  <c r="AE128" i="21"/>
  <c r="AD145" i="21"/>
  <c r="AD198" i="57"/>
  <c r="AC199" i="57"/>
  <c r="AC200" i="57"/>
  <c r="AC214" i="57"/>
  <c r="AC215" i="57"/>
  <c r="AD213" i="57"/>
  <c r="AE136" i="21"/>
  <c r="AE138" i="21"/>
  <c r="AF128" i="21"/>
  <c r="AE145" i="21"/>
  <c r="AE198" i="57"/>
  <c r="AD199" i="57"/>
  <c r="AD200" i="57"/>
  <c r="AD214" i="57"/>
  <c r="AD215" i="57"/>
  <c r="AE213" i="57"/>
  <c r="AF136" i="21"/>
  <c r="AF138" i="21"/>
  <c r="B141" i="21"/>
  <c r="AF145" i="21"/>
  <c r="B149" i="21"/>
  <c r="AF198" i="57"/>
  <c r="AE199" i="57"/>
  <c r="AE200" i="57"/>
  <c r="AE214" i="57"/>
  <c r="AE215" i="57"/>
  <c r="AF213" i="57"/>
  <c r="AF199" i="57"/>
  <c r="AF200" i="57"/>
  <c r="AG198" i="57"/>
  <c r="AF214" i="57"/>
  <c r="AF215" i="57"/>
  <c r="AG213" i="57"/>
  <c r="AG199" i="57"/>
  <c r="AG200" i="57"/>
  <c r="AH198" i="57"/>
  <c r="AG214" i="57"/>
  <c r="AG215" i="57"/>
  <c r="AH213" i="57"/>
  <c r="AH199" i="57"/>
  <c r="AH200" i="57"/>
  <c r="AI198" i="57"/>
  <c r="AH214" i="57"/>
  <c r="AH215" i="57"/>
  <c r="AI213" i="57"/>
  <c r="AI199" i="57"/>
  <c r="AI200" i="57"/>
  <c r="AJ198" i="57"/>
  <c r="AI214" i="57"/>
  <c r="AI215" i="57"/>
  <c r="AJ213" i="57"/>
  <c r="AJ199" i="57"/>
  <c r="AJ200" i="57"/>
  <c r="AK198" i="57"/>
  <c r="AJ214" i="57"/>
  <c r="AJ215" i="57"/>
  <c r="AK213" i="57"/>
  <c r="AK199" i="57"/>
  <c r="AK200" i="57"/>
  <c r="AL198" i="57"/>
  <c r="AK214" i="57"/>
  <c r="AK215" i="57"/>
  <c r="AL213" i="57"/>
  <c r="AM198" i="57"/>
  <c r="AL199" i="57"/>
  <c r="AL200" i="57"/>
  <c r="AL214" i="57"/>
  <c r="AL215" i="57"/>
  <c r="AM213" i="57"/>
  <c r="AM199" i="57"/>
  <c r="AM200" i="57"/>
  <c r="AN198" i="57"/>
  <c r="AM214" i="57"/>
  <c r="AM215" i="57"/>
  <c r="AN213" i="57"/>
  <c r="AO198" i="57"/>
  <c r="AN199" i="57"/>
  <c r="AN200" i="57"/>
  <c r="AN214" i="57"/>
  <c r="AN215" i="57"/>
  <c r="AO213" i="57"/>
  <c r="AP198" i="57"/>
  <c r="AP199" i="57"/>
  <c r="AO199" i="57"/>
  <c r="AO200" i="57"/>
  <c r="AP200" i="57"/>
  <c r="B203" i="57"/>
  <c r="F206" i="57"/>
  <c r="AO214" i="57"/>
  <c r="AO215" i="57"/>
  <c r="AP213" i="57"/>
  <c r="AP214" i="57"/>
  <c r="AP215" i="57"/>
  <c r="B218" i="57"/>
</calcChain>
</file>

<file path=xl/sharedStrings.xml><?xml version="1.0" encoding="utf-8"?>
<sst xmlns="http://schemas.openxmlformats.org/spreadsheetml/2006/main" count="2592" uniqueCount="1436">
  <si>
    <t>after cap. Increase</t>
  </si>
  <si>
    <t>Change in Wealth</t>
  </si>
  <si>
    <t>I buy the contract</t>
  </si>
  <si>
    <t xml:space="preserve"> arbitrage</t>
  </si>
  <si>
    <t>which would yield an increase of the NPV of €</t>
  </si>
  <si>
    <t>Note: Figures describing the increase in sales provided in the book were multiplied by 10 by mistake… Please find below the correct version of the exercise!</t>
  </si>
  <si>
    <t>€m</t>
  </si>
  <si>
    <t>Exercise 1: ENI</t>
  </si>
  <si>
    <t>Share ENI</t>
  </si>
  <si>
    <t>Return ENI</t>
  </si>
  <si>
    <t>Total risk of ENI</t>
  </si>
  <si>
    <t>Mkt risk ENI</t>
  </si>
  <si>
    <t>Specific risk ENI</t>
  </si>
  <si>
    <t>ENI</t>
  </si>
  <si>
    <t>Return E</t>
  </si>
  <si>
    <t>σ E</t>
  </si>
  <si>
    <t>XE</t>
  </si>
  <si>
    <t>XE (Z)</t>
  </si>
  <si>
    <t>Return H</t>
  </si>
  <si>
    <t>σ H</t>
  </si>
  <si>
    <t>ρ H,E</t>
  </si>
  <si>
    <t>XH</t>
  </si>
  <si>
    <t>σ H,E</t>
  </si>
  <si>
    <t>E(r H,E)</t>
  </si>
  <si>
    <t>XH (Z)</t>
  </si>
  <si>
    <t>Number of units/year</t>
  </si>
  <si>
    <t>-&gt; Indeed, it depends of the number of units produced (cf. below)</t>
  </si>
  <si>
    <t>Revenues</t>
  </si>
  <si>
    <t>Capital expenditure</t>
  </si>
  <si>
    <t>Petrol station</t>
  </si>
  <si>
    <t>Net profits</t>
  </si>
  <si>
    <t>Net book value of the fixed assets</t>
  </si>
  <si>
    <t>Accounting return</t>
  </si>
  <si>
    <t>Calculation of the accounting return of the project</t>
  </si>
  <si>
    <t>Average working capital</t>
  </si>
  <si>
    <t>Indice : il s'agit des comptes d'Enron</t>
  </si>
  <si>
    <t>2)</t>
  </si>
  <si>
    <t>1)</t>
  </si>
  <si>
    <t>Variation</t>
  </si>
  <si>
    <t>M</t>
  </si>
  <si>
    <t>Exercice 1</t>
  </si>
  <si>
    <t>Exercice 2</t>
  </si>
  <si>
    <t xml:space="preserve">Company Boomwichers NV </t>
  </si>
  <si>
    <t>Period</t>
  </si>
  <si>
    <t>Operating inflows</t>
  </si>
  <si>
    <t>Operating outflows</t>
  </si>
  <si>
    <t>Operating cash flows</t>
  </si>
  <si>
    <t>Investments</t>
  </si>
  <si>
    <t>Free cash flows</t>
  </si>
  <si>
    <t>Flows to creditors</t>
  </si>
  <si>
    <t>Flows to shareholders</t>
  </si>
  <si>
    <t>Year</t>
  </si>
  <si>
    <t>Interest</t>
  </si>
  <si>
    <t>Italian index</t>
  </si>
  <si>
    <t>Return index</t>
  </si>
  <si>
    <t>Periodic return</t>
  </si>
  <si>
    <t>Index</t>
  </si>
  <si>
    <t>more detailed</t>
  </si>
  <si>
    <t>Standard deviation return index</t>
  </si>
  <si>
    <t>Portion of the total risk explained by mkt risk</t>
  </si>
  <si>
    <t>Standard deviation</t>
  </si>
  <si>
    <t>Return</t>
  </si>
  <si>
    <t>% of added risk-free assets</t>
  </si>
  <si>
    <t>% of risk-free assets using debt</t>
  </si>
  <si>
    <t>Expected return</t>
  </si>
  <si>
    <t>Portfolio</t>
  </si>
  <si>
    <t>r risk-free</t>
  </si>
  <si>
    <t>Mkt risk premium</t>
  </si>
  <si>
    <t>Share</t>
  </si>
  <si>
    <t>Evaluation</t>
  </si>
  <si>
    <t>r market</t>
  </si>
  <si>
    <t>r expected</t>
  </si>
  <si>
    <t>r capm</t>
  </si>
  <si>
    <t>rj - r capm</t>
  </si>
  <si>
    <t>Trading price</t>
  </si>
  <si>
    <t>Dividends after</t>
  </si>
  <si>
    <t>Dividends 5 the 1st years</t>
  </si>
  <si>
    <t>Schedule of discounted cash flows</t>
  </si>
  <si>
    <t>kE</t>
  </si>
  <si>
    <t>Nominal value of the debt</t>
  </si>
  <si>
    <t>Trading price of the debt</t>
  </si>
  <si>
    <t>Cost of debt</t>
  </si>
  <si>
    <t>Number of shares issued</t>
  </si>
  <si>
    <t>ke</t>
  </si>
  <si>
    <t>Ve</t>
  </si>
  <si>
    <t>Book value</t>
  </si>
  <si>
    <t>Perpetual remuneration</t>
  </si>
  <si>
    <t>Cost of capital</t>
  </si>
  <si>
    <t xml:space="preserve">Cost </t>
  </si>
  <si>
    <t>Cash flow before tax</t>
  </si>
  <si>
    <t>Capital structure</t>
  </si>
  <si>
    <t>Percentage</t>
  </si>
  <si>
    <t>Cost before tax (%)</t>
  </si>
  <si>
    <t>Cost after tax (%)</t>
  </si>
  <si>
    <t>E</t>
  </si>
  <si>
    <t>cash flows (before tax)</t>
  </si>
  <si>
    <t>NPV before tax</t>
  </si>
  <si>
    <t>cash flows (after tax)</t>
  </si>
  <si>
    <t>NPV after tax</t>
  </si>
  <si>
    <t>Exercise 6: Cyclone case study</t>
  </si>
  <si>
    <t>Market capitalisation</t>
  </si>
  <si>
    <t>βE observed</t>
  </si>
  <si>
    <t>βD estimated</t>
  </si>
  <si>
    <t>Equipment sales division</t>
  </si>
  <si>
    <t>Maritim shipping division</t>
  </si>
  <si>
    <t>Shipyard</t>
  </si>
  <si>
    <t>Risk-free rate</t>
  </si>
  <si>
    <t>Group</t>
  </si>
  <si>
    <t>EPS</t>
  </si>
  <si>
    <t>Payout ratio</t>
  </si>
  <si>
    <t>Projected EPS growth</t>
  </si>
  <si>
    <t>Discounted xash flows</t>
  </si>
  <si>
    <t>Value of share (year 3)</t>
  </si>
  <si>
    <t>Net EPS (year 3)</t>
  </si>
  <si>
    <t>P/E ratio (year 3)</t>
  </si>
  <si>
    <t>Payout</t>
  </si>
  <si>
    <t>BV/S</t>
  </si>
  <si>
    <t>Share price</t>
  </si>
  <si>
    <t>Yield</t>
  </si>
  <si>
    <t>Market risk premium</t>
  </si>
  <si>
    <t>Anticipated growth</t>
  </si>
  <si>
    <t>Risk</t>
  </si>
  <si>
    <t>Value created</t>
  </si>
  <si>
    <t>rE</t>
  </si>
  <si>
    <t>High</t>
  </si>
  <si>
    <t>Very high</t>
  </si>
  <si>
    <t>Low</t>
  </si>
  <si>
    <t>P/E</t>
  </si>
  <si>
    <t>Payout ratio d</t>
  </si>
  <si>
    <t>Long term debt/ E</t>
  </si>
  <si>
    <t>Very low</t>
  </si>
  <si>
    <t>Call option</t>
  </si>
  <si>
    <t>Maturity</t>
  </si>
  <si>
    <t>Strike price K</t>
  </si>
  <si>
    <t>Value of the underlying</t>
  </si>
  <si>
    <t>Value option</t>
  </si>
  <si>
    <t>Application of Black Scholes to recalculate the value</t>
  </si>
  <si>
    <t>Call option (option 1)</t>
  </si>
  <si>
    <t>Value per share</t>
  </si>
  <si>
    <t>Bonds</t>
  </si>
  <si>
    <t>Nominal value</t>
  </si>
  <si>
    <t>Interest rate</t>
  </si>
  <si>
    <t>EPS "fully diluted"</t>
  </si>
  <si>
    <t>Gain on interest expense</t>
  </si>
  <si>
    <t>Gain by share (fully diluted)</t>
  </si>
  <si>
    <t>Expected income</t>
  </si>
  <si>
    <t>Tax rate of return on short-term investments</t>
  </si>
  <si>
    <t>Issue price X</t>
  </si>
  <si>
    <t>Issuance of  the bond with attached warrants</t>
  </si>
  <si>
    <t>Convertible bond</t>
  </si>
  <si>
    <t>Bond with attached warrants
(tax rate of return 8%)</t>
  </si>
  <si>
    <t>Bond with attached warrants
(share buy back)</t>
  </si>
  <si>
    <t>Capital increase</t>
  </si>
  <si>
    <t>Share price before issuance</t>
  </si>
  <si>
    <t>New shares</t>
  </si>
  <si>
    <t>Price of share issued</t>
  </si>
  <si>
    <t>Subscription ratio</t>
  </si>
  <si>
    <t>Number of shares</t>
  </si>
  <si>
    <t>PSR</t>
  </si>
  <si>
    <t>Number</t>
  </si>
  <si>
    <t>- Shares</t>
  </si>
  <si>
    <t>- Purchase</t>
  </si>
  <si>
    <t>- Sale</t>
  </si>
  <si>
    <t>- Cash from the operation</t>
  </si>
  <si>
    <t>Net operating income</t>
  </si>
  <si>
    <t>Investment in …</t>
  </si>
  <si>
    <t>Return on capital employed</t>
  </si>
  <si>
    <t>Operating income today</t>
  </si>
  <si>
    <t>Operating income with the new investment</t>
  </si>
  <si>
    <t>Value of the division</t>
  </si>
  <si>
    <t>Initial value</t>
  </si>
  <si>
    <t>Expected value</t>
  </si>
  <si>
    <t>Credit</t>
  </si>
  <si>
    <t>Company Ellingham plc - Cash Forecast</t>
  </si>
  <si>
    <t>By-nature income statement</t>
  </si>
  <si>
    <t>Production sold</t>
  </si>
  <si>
    <t>Change in finished goods and in-progress inventory</t>
  </si>
  <si>
    <t>EBITDA</t>
  </si>
  <si>
    <t>Depreciation and amortisation</t>
  </si>
  <si>
    <t>Premises amortisation</t>
  </si>
  <si>
    <t>By-destination income statement</t>
  </si>
  <si>
    <t>Turnover</t>
  </si>
  <si>
    <t>Cost of sales</t>
  </si>
  <si>
    <t>Raw materials</t>
  </si>
  <si>
    <t>Personnel expenses</t>
  </si>
  <si>
    <t>Case</t>
  </si>
  <si>
    <t>Mother board</t>
  </si>
  <si>
    <t>Processor</t>
  </si>
  <si>
    <t>Memory</t>
  </si>
  <si>
    <t>Hard disk</t>
  </si>
  <si>
    <t>Parts</t>
  </si>
  <si>
    <t>Purchases of raw materials and goods for resale</t>
  </si>
  <si>
    <t>Change in raw materials and goods for resale</t>
  </si>
  <si>
    <t>Operating income</t>
  </si>
  <si>
    <t>Net interest and other financial charges</t>
  </si>
  <si>
    <t>Loan interest</t>
  </si>
  <si>
    <t>Exceptional gains</t>
  </si>
  <si>
    <t>Net earnings</t>
  </si>
  <si>
    <t>Tax</t>
  </si>
  <si>
    <t>Profit before tax and non-recurrent items</t>
  </si>
  <si>
    <t>Capital gains on premises sales</t>
  </si>
  <si>
    <t>Dividends</t>
  </si>
  <si>
    <t>Associated labor costs</t>
  </si>
  <si>
    <t>Retained earnings</t>
  </si>
  <si>
    <t>Screen</t>
  </si>
  <si>
    <t>Finished products</t>
  </si>
  <si>
    <t>Inventory</t>
  </si>
  <si>
    <t>Premises rental</t>
  </si>
  <si>
    <t>Price</t>
  </si>
  <si>
    <t>Opening inventory</t>
  </si>
  <si>
    <t>Closing inventory</t>
  </si>
  <si>
    <t>Sold</t>
  </si>
  <si>
    <t>Purchase</t>
  </si>
  <si>
    <t>Retail price</t>
  </si>
  <si>
    <t>Labor cost</t>
  </si>
  <si>
    <t>Wages</t>
  </si>
  <si>
    <t>Depreciated value</t>
  </si>
  <si>
    <t>Number of months</t>
  </si>
  <si>
    <t>Loan</t>
  </si>
  <si>
    <t>Annual rate</t>
  </si>
  <si>
    <t>Number of the months of th year before reimbursement</t>
  </si>
  <si>
    <t>Tax rate</t>
  </si>
  <si>
    <t>Purchase of premise</t>
  </si>
  <si>
    <t>Sale of premise</t>
  </si>
  <si>
    <t>Capital gain</t>
  </si>
  <si>
    <t>Ellingham plc - By-function income statement</t>
  </si>
  <si>
    <t>Interest expense</t>
  </si>
  <si>
    <t>Sales</t>
  </si>
  <si>
    <t>- research and development costs</t>
  </si>
  <si>
    <t>- selling and administrative costs</t>
  </si>
  <si>
    <t>Raw materials used in the business</t>
  </si>
  <si>
    <t>Shipping</t>
  </si>
  <si>
    <t>Payroll costs</t>
  </si>
  <si>
    <t>- cost of sales</t>
  </si>
  <si>
    <t>Ellingham plc - Balance sheet</t>
  </si>
  <si>
    <t>Fixed assets, net (A)</t>
  </si>
  <si>
    <t>Inventories</t>
  </si>
  <si>
    <t>+ Trade receivables</t>
  </si>
  <si>
    <t>- Trade payables and other debts</t>
  </si>
  <si>
    <t>= Working capital (B)</t>
  </si>
  <si>
    <t>= Operating working capital</t>
  </si>
  <si>
    <t>+ Nonoperating working capital</t>
  </si>
  <si>
    <t>Capital employed (A+B)</t>
  </si>
  <si>
    <t xml:space="preserve">Shareholders' equity (C) </t>
  </si>
  <si>
    <t>= Net debt (D)</t>
  </si>
  <si>
    <t>Exercise 16</t>
  </si>
  <si>
    <t>Invested capital (C+D)</t>
  </si>
  <si>
    <t>- Cash and equivalents</t>
  </si>
  <si>
    <t>- Marketable securities</t>
  </si>
  <si>
    <t>Bank and financial debts</t>
  </si>
  <si>
    <t>Cash flow statement</t>
  </si>
  <si>
    <t>Net income</t>
  </si>
  <si>
    <t>+ Depreciation and amortisation</t>
  </si>
  <si>
    <t xml:space="preserve">Cash flow </t>
  </si>
  <si>
    <t>Change in impairment losses on fixed assets</t>
  </si>
  <si>
    <t>+ Change in impairment losses on fixed assets</t>
  </si>
  <si>
    <t>- Change in working capital</t>
  </si>
  <si>
    <t>Cash flow from operating activities</t>
  </si>
  <si>
    <t>Net decrease in debt</t>
  </si>
  <si>
    <t>+ Capital increase</t>
  </si>
  <si>
    <t>- Dividends</t>
  </si>
  <si>
    <t>+ Assets disposal</t>
  </si>
  <si>
    <t>- Investments</t>
  </si>
  <si>
    <t>- New borrowings</t>
  </si>
  <si>
    <t>+ Change in marketable securities</t>
  </si>
  <si>
    <t>+ Change in cash and cash equivalents</t>
  </si>
  <si>
    <t>Debt repayments</t>
  </si>
  <si>
    <t>S</t>
  </si>
  <si>
    <t>Bilan M+S</t>
  </si>
  <si>
    <t>Assets</t>
  </si>
  <si>
    <t>Equities and liabilities</t>
  </si>
  <si>
    <t>Income statement</t>
  </si>
  <si>
    <t>Exercise</t>
  </si>
  <si>
    <t>Tangible and intangible fixed assets</t>
  </si>
  <si>
    <t>Equity in associated companies</t>
  </si>
  <si>
    <t>others</t>
  </si>
  <si>
    <t>of the subsidiary</t>
  </si>
  <si>
    <t>Current assets</t>
  </si>
  <si>
    <t>Share capital</t>
  </si>
  <si>
    <t>Reserves</t>
  </si>
  <si>
    <t>Debt</t>
  </si>
  <si>
    <t>Minority interests</t>
  </si>
  <si>
    <t>Group share</t>
  </si>
  <si>
    <t>- Purchases of raw materials</t>
  </si>
  <si>
    <t>+ Sales</t>
  </si>
  <si>
    <t>Purchases of raw materials</t>
  </si>
  <si>
    <t>- Change in inventories</t>
  </si>
  <si>
    <t>- Other external services</t>
  </si>
  <si>
    <t>- Personnel costs</t>
  </si>
  <si>
    <t>- Interest and other finance charges</t>
  </si>
  <si>
    <t>+ Interest, dividends and other financial income</t>
  </si>
  <si>
    <t>- Exceptional costs</t>
  </si>
  <si>
    <t>+ Exceptional income</t>
  </si>
  <si>
    <t>- Corporate income tax</t>
  </si>
  <si>
    <t>= Net earnings</t>
  </si>
  <si>
    <t>+ Income from associates</t>
  </si>
  <si>
    <t>- Minority interests</t>
  </si>
  <si>
    <t>= Net earnings, group share</t>
  </si>
  <si>
    <t>Raw materials used</t>
  </si>
  <si>
    <t>Personnel cost</t>
  </si>
  <si>
    <t>Shareholders' equity</t>
  </si>
  <si>
    <t>Net bank borrowings</t>
  </si>
  <si>
    <t>Sales growth</t>
  </si>
  <si>
    <t>Operating margin</t>
  </si>
  <si>
    <t>Net margin</t>
  </si>
  <si>
    <t>Shareholders' equity / Net debt</t>
  </si>
  <si>
    <t>Risks</t>
  </si>
  <si>
    <t>Return on capital employed (ROCE)</t>
  </si>
  <si>
    <t>Return on equity (ROE)</t>
  </si>
  <si>
    <t>Operating costs not under control</t>
  </si>
  <si>
    <t>in % of total operating costs</t>
  </si>
  <si>
    <t>in % of sales</t>
  </si>
  <si>
    <t>Increase of raw materials</t>
  </si>
  <si>
    <t>Increase of labor costs</t>
  </si>
  <si>
    <t>Effects</t>
  </si>
  <si>
    <t>Exercise 2 - Guizzardi</t>
  </si>
  <si>
    <t xml:space="preserve">     Dividends</t>
  </si>
  <si>
    <t>Trading profit</t>
  </si>
  <si>
    <t>Other external charges</t>
  </si>
  <si>
    <t>Personnel costs</t>
  </si>
  <si>
    <t>Sector</t>
  </si>
  <si>
    <t>Marketing and selling costs</t>
  </si>
  <si>
    <t>Administrative costs</t>
  </si>
  <si>
    <t>Electricity producer</t>
  </si>
  <si>
    <t>Supermarket</t>
  </si>
  <si>
    <t>Specialised retailer</t>
  </si>
  <si>
    <t>Building and public infrastructure</t>
  </si>
  <si>
    <t>Temporary employment agency</t>
  </si>
  <si>
    <t>Low trading profit</t>
  </si>
  <si>
    <t>high trading profit</t>
  </si>
  <si>
    <t>Depreciation and amortization</t>
  </si>
  <si>
    <t>High outsourcing costs</t>
  </si>
  <si>
    <t>High personnel costs</t>
  </si>
  <si>
    <t>Company</t>
  </si>
  <si>
    <t>R&amp;D costs</t>
  </si>
  <si>
    <t>Cement</t>
  </si>
  <si>
    <t>Luxury products</t>
  </si>
  <si>
    <t>Travel agency</t>
  </si>
  <si>
    <t>Stationery</t>
  </si>
  <si>
    <t>Telecom equipment</t>
  </si>
  <si>
    <t>high marketing costs</t>
  </si>
  <si>
    <t>no R&amp;D</t>
  </si>
  <si>
    <t>high R&amp;D costs</t>
  </si>
  <si>
    <t>high marketing costs and high operating income margin</t>
  </si>
  <si>
    <t>Variable costs</t>
  </si>
  <si>
    <t>Fixed costs</t>
  </si>
  <si>
    <t>EBIT</t>
  </si>
  <si>
    <t>Financial expense</t>
  </si>
  <si>
    <t>Profit before tax and nonrecurring items</t>
  </si>
  <si>
    <t>Breakeven before financial costs</t>
  </si>
  <si>
    <t>Breakeven after financial costs</t>
  </si>
  <si>
    <t>Sales/Breakeven</t>
  </si>
  <si>
    <t>Exercise 1</t>
  </si>
  <si>
    <t>Exercise 2: Hoyos Group</t>
  </si>
  <si>
    <t>Operating revenues</t>
  </si>
  <si>
    <t>Purchases of raw materails and goods for resale</t>
  </si>
  <si>
    <t>Change in inventories</t>
  </si>
  <si>
    <t>Taxes</t>
  </si>
  <si>
    <t>Provisions</t>
  </si>
  <si>
    <t>Operating charges</t>
  </si>
  <si>
    <t>Interest, dividends and other financial income</t>
  </si>
  <si>
    <t>Interest and other finance charges</t>
  </si>
  <si>
    <t>Financial income</t>
  </si>
  <si>
    <t>Nonrecurring income</t>
  </si>
  <si>
    <t>Analysis</t>
  </si>
  <si>
    <t>Net interest and other finance charges</t>
  </si>
  <si>
    <t>Growth</t>
  </si>
  <si>
    <t>Gross trading profit</t>
  </si>
  <si>
    <t>Purchase cost of goods for resale</t>
  </si>
  <si>
    <t>Margins</t>
  </si>
  <si>
    <t>Value added</t>
  </si>
  <si>
    <t>Exercise 3: Schmidheiny Group</t>
  </si>
  <si>
    <t>Projected</t>
  </si>
  <si>
    <t>Other external services</t>
  </si>
  <si>
    <t>Outsourcing</t>
  </si>
  <si>
    <t>Total breakeven</t>
  </si>
  <si>
    <t>Financial costs</t>
  </si>
  <si>
    <t>Operating breakeven</t>
  </si>
  <si>
    <t>Other external services (50%)</t>
  </si>
  <si>
    <t>Exercise 1: Van de Putte Group</t>
  </si>
  <si>
    <t>Direct production costs</t>
  </si>
  <si>
    <t>Operating</t>
  </si>
  <si>
    <t>Raw materials inventories</t>
  </si>
  <si>
    <t>days</t>
  </si>
  <si>
    <t>months</t>
  </si>
  <si>
    <t>Days by months</t>
  </si>
  <si>
    <t>Production costs</t>
  </si>
  <si>
    <t>Length of production cycle</t>
  </si>
  <si>
    <t>Payments terms</t>
  </si>
  <si>
    <t>Suppliers</t>
  </si>
  <si>
    <t>Customers</t>
  </si>
  <si>
    <t>Finished products inventories</t>
  </si>
  <si>
    <t>% of sales</t>
  </si>
  <si>
    <t>Value in days of sales</t>
  </si>
  <si>
    <t>Time taken to shift goods or payment period</t>
  </si>
  <si>
    <t>Work in progress</t>
  </si>
  <si>
    <t>Trade receivables</t>
  </si>
  <si>
    <t>Trade payables</t>
  </si>
  <si>
    <t>Exercise 2: Spalton plc</t>
  </si>
  <si>
    <t>Permanent working capital</t>
  </si>
  <si>
    <t>of sales</t>
  </si>
  <si>
    <t>Sales year 1</t>
  </si>
  <si>
    <t>Sales year 2</t>
  </si>
  <si>
    <t>EBITDA year 2</t>
  </si>
  <si>
    <t>Operating cash flow (before taxes and financial expense)</t>
  </si>
  <si>
    <t>Exercise 3: Moretti Spa</t>
  </si>
  <si>
    <t>Balance sheet</t>
  </si>
  <si>
    <t>Inventories of finished goods</t>
  </si>
  <si>
    <t>Trade and notes receivable</t>
  </si>
  <si>
    <t>Trade and notes payable</t>
  </si>
  <si>
    <t>Sales (excl. VAT)</t>
  </si>
  <si>
    <t>Sales (incl. VAT)</t>
  </si>
  <si>
    <t>Purchases (incl. VAT)</t>
  </si>
  <si>
    <t>Working capital</t>
  </si>
  <si>
    <t>Days' inventories</t>
  </si>
  <si>
    <t>Working capital turnover</t>
  </si>
  <si>
    <t>Days/Receivables</t>
  </si>
  <si>
    <t>Issuance of warrants</t>
  </si>
  <si>
    <t>Value of a warrant</t>
  </si>
  <si>
    <t>Waiver of debt</t>
  </si>
  <si>
    <t>Value of warrants</t>
  </si>
  <si>
    <t>Value after capital increase</t>
  </si>
  <si>
    <t>Repayment raised by capital increase</t>
  </si>
  <si>
    <t>Value of senior creditors' assets</t>
  </si>
  <si>
    <t>Ratio min (Gamma/Delta)</t>
  </si>
  <si>
    <t>Ratio max (Gamma/Delta)</t>
  </si>
  <si>
    <t>PV</t>
  </si>
  <si>
    <t>Assets before the operation</t>
  </si>
  <si>
    <t>Assets after the operation</t>
  </si>
  <si>
    <t>3-month euro rate</t>
  </si>
  <si>
    <t>3-month dollar rate</t>
  </si>
  <si>
    <t>buyer/ borrow</t>
  </si>
  <si>
    <t>seller/ lend</t>
  </si>
  <si>
    <t>(from bank's side)</t>
  </si>
  <si>
    <t>Bank buys in 3 months 1 USD for ? EUR</t>
  </si>
  <si>
    <t>Bank sells in 3 months 1 USD for ? EUR</t>
  </si>
  <si>
    <t>I borrow USD</t>
  </si>
  <si>
    <t>I invest my USD</t>
  </si>
  <si>
    <t>Bank buys my USD</t>
  </si>
  <si>
    <t>Bank sells USD to me</t>
  </si>
  <si>
    <t>I invest my EUR</t>
  </si>
  <si>
    <t>I borrow my EUR</t>
  </si>
  <si>
    <t>1 EUR at 6 months</t>
  </si>
  <si>
    <t>6-month euro rate</t>
  </si>
  <si>
    <t>At which USD 6-month rate I borrow?</t>
  </si>
  <si>
    <t>At which USD 6-month rate I invest?</t>
  </si>
  <si>
    <t>I borrow EUR</t>
  </si>
  <si>
    <t>I sell USD</t>
  </si>
  <si>
    <t>I buy USD</t>
  </si>
  <si>
    <t>I invest EUR</t>
  </si>
  <si>
    <t>6-month USD rate</t>
  </si>
  <si>
    <t>I sell USD in 6 months</t>
  </si>
  <si>
    <t>I buy USD in 6 months</t>
  </si>
  <si>
    <t>(market trader)</t>
  </si>
  <si>
    <t>500 M$ in 3 months and for 3 months</t>
  </si>
  <si>
    <t>I borrow today for 6 months</t>
  </si>
  <si>
    <t>I invest today for 3 months</t>
  </si>
  <si>
    <t>I got back money 3 months later</t>
  </si>
  <si>
    <t>I pay back at the end of the 6 months</t>
  </si>
  <si>
    <t>Finished goods</t>
  </si>
  <si>
    <t>Ellingham plc - Cash flow statement</t>
  </si>
  <si>
    <t>Specific characteristic</t>
  </si>
  <si>
    <t>year</t>
  </si>
  <si>
    <t>Schedule of cash flows - own production in comparison with the subcontractor offer</t>
  </si>
  <si>
    <t>Offered investment</t>
  </si>
  <si>
    <t>Company X</t>
  </si>
  <si>
    <t>Exercise 4 : Company Rowak</t>
  </si>
  <si>
    <t>free shares</t>
  </si>
  <si>
    <t>Synergies</t>
  </si>
  <si>
    <t>Days/Payables</t>
  </si>
  <si>
    <t>Exercise 4</t>
  </si>
  <si>
    <t>Working capital component</t>
  </si>
  <si>
    <t>Inventories of goods for resale</t>
  </si>
  <si>
    <t>times a year</t>
  </si>
  <si>
    <t>Sales (excl. Tax)</t>
  </si>
  <si>
    <t>days month-end</t>
  </si>
  <si>
    <t>Payroll taxes, paid on the</t>
  </si>
  <si>
    <t>of the following month</t>
  </si>
  <si>
    <t>paid on</t>
  </si>
  <si>
    <t>Resale rotate</t>
  </si>
  <si>
    <t>Cost of goods sold</t>
  </si>
  <si>
    <t>Customer pay</t>
  </si>
  <si>
    <t>Suppliers paid on</t>
  </si>
  <si>
    <t>Salaries paid at the end of the month</t>
  </si>
  <si>
    <t>Payroll taxes</t>
  </si>
  <si>
    <t>VAT 19,6</t>
  </si>
  <si>
    <t>Trade receivable</t>
  </si>
  <si>
    <t>Accounts payable</t>
  </si>
  <si>
    <t>Social security contributions payable</t>
  </si>
  <si>
    <t>VAT payable</t>
  </si>
  <si>
    <t>Exercise 5</t>
  </si>
  <si>
    <t>Supplier credit</t>
  </si>
  <si>
    <t>Customer credit</t>
  </si>
  <si>
    <t>Purchases in % of sales</t>
  </si>
  <si>
    <t>No VAT</t>
  </si>
  <si>
    <t>Ratios</t>
  </si>
  <si>
    <t>a)</t>
  </si>
  <si>
    <t>b)</t>
  </si>
  <si>
    <t>A</t>
  </si>
  <si>
    <t>B</t>
  </si>
  <si>
    <t>C</t>
  </si>
  <si>
    <t>D</t>
  </si>
  <si>
    <t>E*</t>
  </si>
  <si>
    <t>Volkswagen</t>
  </si>
  <si>
    <t>ING</t>
  </si>
  <si>
    <t>VD</t>
  </si>
  <si>
    <t>M€</t>
  </si>
  <si>
    <t>Exercice 3</t>
  </si>
  <si>
    <t>i</t>
  </si>
  <si>
    <t>Payback ratio &amp; NPV at 10%</t>
  </si>
  <si>
    <t>Payback ratio</t>
  </si>
  <si>
    <t>NPV at 10%</t>
  </si>
  <si>
    <t>Average of the acc. return</t>
  </si>
  <si>
    <t>Cash flow schedule (new machine)</t>
  </si>
  <si>
    <t>Machine cost</t>
  </si>
  <si>
    <t>Length of depreciation</t>
  </si>
  <si>
    <t>Total length of depreciation</t>
  </si>
  <si>
    <t>Tax credit on the capital loss</t>
  </si>
  <si>
    <t>Tax credit</t>
  </si>
  <si>
    <t>Nominal value of depreciation</t>
  </si>
  <si>
    <t>Sale back of the machine</t>
  </si>
  <si>
    <t>Annual production</t>
  </si>
  <si>
    <t>units</t>
  </si>
  <si>
    <t>Initial machine cost</t>
  </si>
  <si>
    <t>Cost of the new machine</t>
  </si>
  <si>
    <t>direct labor cost/unit</t>
  </si>
  <si>
    <t>raw material/unit</t>
  </si>
  <si>
    <t>general costs/unité</t>
  </si>
  <si>
    <t>Sale back of the old machine</t>
  </si>
  <si>
    <t>Δ Tax (excl. Tax credit)</t>
  </si>
  <si>
    <t>Cash Flows</t>
  </si>
  <si>
    <t>Savings on operating costs</t>
  </si>
  <si>
    <t>Discounted cash flows</t>
  </si>
  <si>
    <t>Annual sales</t>
  </si>
  <si>
    <t>Extension of payment period (days)</t>
  </si>
  <si>
    <t>Increase in sales</t>
  </si>
  <si>
    <t>Sale price/unit</t>
  </si>
  <si>
    <t>Cost price</t>
  </si>
  <si>
    <t>Required return on capital invested (before tax)</t>
  </si>
  <si>
    <t>Number of units produced (in thousands)</t>
  </si>
  <si>
    <t>Δ operating profit</t>
  </si>
  <si>
    <t>Production cost</t>
  </si>
  <si>
    <t>Customer payment discounted at the date of payment</t>
  </si>
  <si>
    <t>Optimum extension period</t>
  </si>
  <si>
    <t>Shares</t>
  </si>
  <si>
    <t>Schedule of incremental and discounted cash flows</t>
  </si>
  <si>
    <t>P/E ratio</t>
  </si>
  <si>
    <t>Net profit</t>
  </si>
  <si>
    <t>Price (transaction)</t>
  </si>
  <si>
    <t>Value of the shareholders'equity</t>
  </si>
  <si>
    <t>New net profit</t>
  </si>
  <si>
    <t>Net profit C</t>
  </si>
  <si>
    <t>Net profit D</t>
  </si>
  <si>
    <t>Increase in net profit</t>
  </si>
  <si>
    <t>Increase in number of shares</t>
  </si>
  <si>
    <t>Growth of the EPS</t>
  </si>
  <si>
    <t>WACC</t>
  </si>
  <si>
    <t>Market cap.</t>
  </si>
  <si>
    <t>Book value of shareholders' equity, group share</t>
  </si>
  <si>
    <t>Initial investment</t>
  </si>
  <si>
    <t>Return in 5 years</t>
  </si>
  <si>
    <t>+</t>
  </si>
  <si>
    <t>-</t>
  </si>
  <si>
    <t>++</t>
  </si>
  <si>
    <t>---</t>
  </si>
  <si>
    <t>c)</t>
  </si>
  <si>
    <t>d)</t>
  </si>
  <si>
    <t>=</t>
  </si>
  <si>
    <t>Cash</t>
  </si>
  <si>
    <t>Financed with equity…</t>
  </si>
  <si>
    <t>…or with debt</t>
  </si>
  <si>
    <t>Debt/Equity</t>
  </si>
  <si>
    <t>EPS growth rate</t>
  </si>
  <si>
    <t>Rate of return on equity</t>
  </si>
  <si>
    <t>Equity</t>
  </si>
  <si>
    <t>Operating income after tax</t>
  </si>
  <si>
    <t>Reinvested earnings</t>
  </si>
  <si>
    <t>Interest expenses after tax</t>
  </si>
  <si>
    <t>Equity at the end of period</t>
  </si>
  <si>
    <t>Return on cap. Empl. after tax</t>
  </si>
  <si>
    <t>growth goal</t>
  </si>
  <si>
    <t>Cost of debt before tax</t>
  </si>
  <si>
    <t>Growth rate forecasted</t>
  </si>
  <si>
    <t>D/E</t>
  </si>
  <si>
    <t>Net EPS</t>
  </si>
  <si>
    <t>Growth yield</t>
  </si>
  <si>
    <t>Net yield</t>
  </si>
  <si>
    <t>DPS</t>
  </si>
  <si>
    <t>Growth of DPS</t>
  </si>
  <si>
    <t>Exercise 3 : Company Gassoumi</t>
  </si>
  <si>
    <t>Book value of equity</t>
  </si>
  <si>
    <t>Initial</t>
  </si>
  <si>
    <t>Share buy back at 500</t>
  </si>
  <si>
    <t>Share buy back at 1500</t>
  </si>
  <si>
    <t>Share buy back</t>
  </si>
  <si>
    <t>Cost of debt after tax</t>
  </si>
  <si>
    <t>Book value per share</t>
  </si>
  <si>
    <t>Market Cap</t>
  </si>
  <si>
    <t>Interest expenses before tax</t>
  </si>
  <si>
    <t>RE</t>
  </si>
  <si>
    <t>-&gt; Consistent payout policy</t>
  </si>
  <si>
    <t>Δ Earnings/Δ Equity</t>
  </si>
  <si>
    <t>without brutal fever</t>
  </si>
  <si>
    <t>with brutal fever</t>
  </si>
  <si>
    <t>Value of shared issued</t>
  </si>
  <si>
    <t>Subscription right</t>
  </si>
  <si>
    <t>in % of VE</t>
  </si>
  <si>
    <t>Raise funds</t>
  </si>
  <si>
    <t>a. Caculation of dilutions</t>
  </si>
  <si>
    <t>Apparent dilution</t>
  </si>
  <si>
    <t>Real dilution</t>
  </si>
  <si>
    <t>Technical dilution</t>
  </si>
  <si>
    <t>Adjustment coeeficient</t>
  </si>
  <si>
    <t>Distribution of free shares?</t>
  </si>
  <si>
    <t>number of shares</t>
  </si>
  <si>
    <t>nb of sub. Right to sale</t>
  </si>
  <si>
    <t>Revenues from the sale of the sub. rights</t>
  </si>
  <si>
    <t>Purchase of shares with the sub. rights available</t>
  </si>
  <si>
    <t>Sale / Purchase</t>
  </si>
  <si>
    <t>It is equivalent to distribute</t>
  </si>
  <si>
    <t>% initial control</t>
  </si>
  <si>
    <t>new % of control</t>
  </si>
  <si>
    <t>The shareholders do not subscribe…</t>
  </si>
  <si>
    <t>All the shareholders subscribe…</t>
  </si>
  <si>
    <t>% of control for 1 shareholder X</t>
  </si>
  <si>
    <t>Subscription by shareholder X</t>
  </si>
  <si>
    <t>Nb of shares bought</t>
  </si>
  <si>
    <t>% of control  for a shareholder X after</t>
  </si>
  <si>
    <t>New EPS</t>
  </si>
  <si>
    <t>Old EPS</t>
  </si>
  <si>
    <t>Growth of equity</t>
  </si>
  <si>
    <t>E before</t>
  </si>
  <si>
    <t>E after</t>
  </si>
  <si>
    <t>Book value of equity before</t>
  </si>
  <si>
    <t>Book value of equity after</t>
  </si>
  <si>
    <t>Issue price</t>
  </si>
  <si>
    <t>Expected profit</t>
  </si>
  <si>
    <t>… in (years)</t>
  </si>
  <si>
    <t>Years</t>
  </si>
  <si>
    <t>Marketing costs</t>
  </si>
  <si>
    <t>Δ working capital</t>
  </si>
  <si>
    <t>Capital structure "targeted"</t>
  </si>
  <si>
    <t>Growth rate out to infinity</t>
  </si>
  <si>
    <t>Normalised cash flow</t>
  </si>
  <si>
    <t>- Δ in working capital</t>
  </si>
  <si>
    <t>- Capital expenditure</t>
  </si>
  <si>
    <t>Free Cash flows</t>
  </si>
  <si>
    <t>Terminal value</t>
  </si>
  <si>
    <t>- of terminal value</t>
  </si>
  <si>
    <t>V. Cap. Empl.</t>
  </si>
  <si>
    <t>- of the cash flows to the end of the explicit forecast</t>
  </si>
  <si>
    <t>Exercise 3 : Pixi Spa</t>
  </si>
  <si>
    <t>Exercise 1: Megabyte plc</t>
  </si>
  <si>
    <t>Exercise 2 : Management plc</t>
  </si>
  <si>
    <t>Multiple Operating profit</t>
  </si>
  <si>
    <t>Mean P/E</t>
  </si>
  <si>
    <t>Alpha</t>
  </si>
  <si>
    <t>Beta</t>
  </si>
  <si>
    <t>Before acquisition</t>
  </si>
  <si>
    <t>After acquisition</t>
  </si>
  <si>
    <t>Net profits method</t>
  </si>
  <si>
    <t>Equity value method</t>
  </si>
  <si>
    <t>Book equity method</t>
  </si>
  <si>
    <t>Book equity</t>
  </si>
  <si>
    <t>soccet</t>
  </si>
  <si>
    <t>socdet</t>
  </si>
  <si>
    <t>Gamma</t>
  </si>
  <si>
    <t>Delta</t>
  </si>
  <si>
    <t>a. After acquisition of Gamma by Delta…</t>
  </si>
  <si>
    <t>Gamma shareholders</t>
  </si>
  <si>
    <t>Delta shareholders</t>
  </si>
  <si>
    <t>Equity per share</t>
  </si>
  <si>
    <t>b. Different P/E</t>
  </si>
  <si>
    <t>Gamma P/E</t>
  </si>
  <si>
    <t>c. Synergies breakdown?</t>
  </si>
  <si>
    <t>Increase of profits</t>
  </si>
  <si>
    <t>P/E after merger</t>
  </si>
  <si>
    <t>Value created by the merger</t>
  </si>
  <si>
    <t>V Epsilon</t>
  </si>
  <si>
    <t>e. Value created</t>
  </si>
  <si>
    <t>V created</t>
  </si>
  <si>
    <t>Revaluation of Epsilon</t>
  </si>
  <si>
    <t>d. Value of Epsilon</t>
  </si>
  <si>
    <t>Synergies industrielles</t>
  </si>
  <si>
    <t>MVA</t>
  </si>
  <si>
    <t>EVA</t>
  </si>
  <si>
    <t>β FT</t>
  </si>
  <si>
    <t>β DT</t>
  </si>
  <si>
    <t>kd FT</t>
  </si>
  <si>
    <t>Vd/V FT</t>
  </si>
  <si>
    <t>k FT</t>
  </si>
  <si>
    <t>k DT</t>
  </si>
  <si>
    <t>kd DT</t>
  </si>
  <si>
    <t>Vd/V DT</t>
  </si>
  <si>
    <t>Nbre de pièces/an</t>
  </si>
  <si>
    <t>du CA</t>
  </si>
  <si>
    <t xml:space="preserve"> </t>
  </si>
  <si>
    <t>Decrease of activity</t>
  </si>
  <si>
    <t>Decrease of negative margins</t>
  </si>
  <si>
    <t>Important debt</t>
  </si>
  <si>
    <t>Sale of part of the capital employed</t>
  </si>
  <si>
    <t>-&gt; Threat of bankrupcy</t>
  </si>
  <si>
    <t>Value of senior debt</t>
  </si>
  <si>
    <t>Value of subordinated debt</t>
  </si>
  <si>
    <t>Issued price</t>
  </si>
  <si>
    <t>Pay back</t>
  </si>
  <si>
    <t>Subordinated creditors</t>
  </si>
  <si>
    <t>d) Creditors are the one who take advantage of the plan</t>
  </si>
  <si>
    <t>Value before capital increase</t>
  </si>
  <si>
    <t>Senior creditors</t>
  </si>
  <si>
    <t>Annual income</t>
  </si>
  <si>
    <t>NPV of the perpetual income</t>
  </si>
  <si>
    <t>Income rise per year</t>
  </si>
  <si>
    <t>NPV of the new perpetual income</t>
  </si>
  <si>
    <t>NPV of the revenues over 3 years</t>
  </si>
  <si>
    <t>required return</t>
  </si>
  <si>
    <t>Maximum price</t>
  </si>
  <si>
    <t>Market price</t>
  </si>
  <si>
    <t>-&gt; buy because:</t>
  </si>
  <si>
    <t>Return rate</t>
  </si>
  <si>
    <t>Value of the perpetual income</t>
  </si>
  <si>
    <t>Value of the share</t>
  </si>
  <si>
    <t>Difference</t>
  </si>
  <si>
    <t>Annual price</t>
  </si>
  <si>
    <t>Opportunity costs</t>
  </si>
  <si>
    <t>Value of the offer with the annual rent</t>
  </si>
  <si>
    <t>TV rights</t>
  </si>
  <si>
    <t>Rate every 2 years</t>
  </si>
  <si>
    <t>Nb of screenings</t>
  </si>
  <si>
    <t>Value in perpetuity</t>
  </si>
  <si>
    <t>Value for 30 years</t>
  </si>
  <si>
    <t>Rent</t>
  </si>
  <si>
    <t>Purchase price</t>
  </si>
  <si>
    <t>Interruption (years)</t>
  </si>
  <si>
    <t>Earnings with the MBA</t>
  </si>
  <si>
    <t>Cost of MBA</t>
  </si>
  <si>
    <t>Years before retirement</t>
  </si>
  <si>
    <t>NPV without MBA</t>
  </si>
  <si>
    <t>NPV with MBA</t>
  </si>
  <si>
    <t>NPV of the MBA</t>
  </si>
  <si>
    <t>Exercise 1: Starjö AB</t>
  </si>
  <si>
    <t>Exercise 2: Ellingham plc - By-nature income statement</t>
  </si>
  <si>
    <t>+ Closing inventory of finished products</t>
  </si>
  <si>
    <t>- Opening inventory and work in progress</t>
  </si>
  <si>
    <t>= Production for the year</t>
  </si>
  <si>
    <t>- Purchases of raw materials and goods for resale</t>
  </si>
  <si>
    <t>- Opening inventory of raw materials and goods for resale</t>
  </si>
  <si>
    <t>+ Closing inventory of raw materials and goods for resale</t>
  </si>
  <si>
    <t>= Gross profit on raw materials and goods for resale</t>
  </si>
  <si>
    <t>- Personnel expenses</t>
  </si>
  <si>
    <t>- Services (other operating expenses)</t>
  </si>
  <si>
    <t>- Depreciation and amortisation</t>
  </si>
  <si>
    <t>= EBIT</t>
  </si>
  <si>
    <t>Nb of barrels produced</t>
  </si>
  <si>
    <t>Nb of barrels sold</t>
  </si>
  <si>
    <t>Price of a barrel</t>
  </si>
  <si>
    <t>Oak purchase per barrel</t>
  </si>
  <si>
    <t>Labor cost per barrel</t>
  </si>
  <si>
    <t>Sales force costs per year</t>
  </si>
  <si>
    <t>Annual depreciation of the production facilities</t>
  </si>
  <si>
    <t>Opening inventory of raw materials</t>
  </si>
  <si>
    <t>Closing inventory of raw materials</t>
  </si>
  <si>
    <t>All spendings on raw materials</t>
  </si>
  <si>
    <t>By-function income statement</t>
  </si>
  <si>
    <t>Sales (products)</t>
  </si>
  <si>
    <t>Selling and marketing costs</t>
  </si>
  <si>
    <t>General and administrative costs</t>
  </si>
  <si>
    <t>Depreciation for production machinery</t>
  </si>
  <si>
    <t xml:space="preserve">   production machinery</t>
  </si>
  <si>
    <t xml:space="preserve">   sales facilities</t>
  </si>
  <si>
    <t xml:space="preserve">   administrative facilities</t>
  </si>
  <si>
    <t>Coupon</t>
  </si>
  <si>
    <t>Length already depreciated</t>
  </si>
  <si>
    <t>Bad debts/sales</t>
  </si>
  <si>
    <t>Increase in bad debts</t>
  </si>
  <si>
    <t>Economic situation</t>
  </si>
  <si>
    <t>Operating cash flow</t>
  </si>
  <si>
    <t>Payment of debt</t>
  </si>
  <si>
    <t>Shareholders' portion of cash flows</t>
  </si>
  <si>
    <t>Value of capital employed</t>
  </si>
  <si>
    <t>Value of debt</t>
  </si>
  <si>
    <t>Value of equity</t>
  </si>
  <si>
    <t>Value of the investment project</t>
  </si>
  <si>
    <t>Option 1 : financing by debt</t>
  </si>
  <si>
    <t>Option 2 : financing by equity</t>
  </si>
  <si>
    <t>Maximum financing for the shareholders</t>
  </si>
  <si>
    <t>Condition for new creditors to enter : pay back priority, before the already existing creditors</t>
  </si>
  <si>
    <t>Yes, but the problem is even worse as the company is about to go bankruptcy</t>
  </si>
  <si>
    <t>Interests expenses</t>
  </si>
  <si>
    <t>Exceptional items</t>
  </si>
  <si>
    <t>Senior debt</t>
  </si>
  <si>
    <t>Subordinated debt</t>
  </si>
  <si>
    <t>Nb of shares</t>
  </si>
  <si>
    <t>Taux</t>
  </si>
  <si>
    <t>Durée</t>
  </si>
  <si>
    <t>Alternative</t>
  </si>
  <si>
    <t>75%/n</t>
  </si>
  <si>
    <t>125%/n</t>
  </si>
  <si>
    <t>K€</t>
  </si>
  <si>
    <t>$</t>
  </si>
  <si>
    <t>Vo</t>
  </si>
  <si>
    <t>Date</t>
  </si>
  <si>
    <t>V0</t>
  </si>
  <si>
    <t>V2</t>
  </si>
  <si>
    <t>V7</t>
  </si>
  <si>
    <t>Vf</t>
  </si>
  <si>
    <t>€</t>
  </si>
  <si>
    <t>ρ C,D</t>
  </si>
  <si>
    <t>ε</t>
  </si>
  <si>
    <t>δ</t>
  </si>
  <si>
    <t>σ</t>
  </si>
  <si>
    <t>β</t>
  </si>
  <si>
    <t>α</t>
  </si>
  <si>
    <t>EUR</t>
  </si>
  <si>
    <t>rj</t>
  </si>
  <si>
    <t>g</t>
  </si>
  <si>
    <t>V</t>
  </si>
  <si>
    <t>PBR</t>
  </si>
  <si>
    <t>Recapitalisation</t>
  </si>
  <si>
    <t>d</t>
  </si>
  <si>
    <t>N(d2)</t>
  </si>
  <si>
    <t>N(d1)</t>
  </si>
  <si>
    <t>T</t>
  </si>
  <si>
    <t>d1</t>
  </si>
  <si>
    <t>d2</t>
  </si>
  <si>
    <t>ln(V/K)</t>
  </si>
  <si>
    <t>(rF+σ²/2)*T</t>
  </si>
  <si>
    <t>σ*√T</t>
  </si>
  <si>
    <t>exp(-T*rF)</t>
  </si>
  <si>
    <t>Vol σ</t>
  </si>
  <si>
    <t>option 1</t>
  </si>
  <si>
    <t>option 2</t>
  </si>
  <si>
    <t>Division</t>
  </si>
  <si>
    <t>Vd/V</t>
  </si>
  <si>
    <t>kd</t>
  </si>
  <si>
    <t>k</t>
  </si>
  <si>
    <t>Vd</t>
  </si>
  <si>
    <t>Arbitrage</t>
  </si>
  <si>
    <t>kd1</t>
  </si>
  <si>
    <t>k0</t>
  </si>
  <si>
    <t>Vd1</t>
  </si>
  <si>
    <t>β0</t>
  </si>
  <si>
    <t>k1</t>
  </si>
  <si>
    <t>β1</t>
  </si>
  <si>
    <t>βd1</t>
  </si>
  <si>
    <t>Vd total</t>
  </si>
  <si>
    <t>Δ Vd1</t>
  </si>
  <si>
    <t>Δ Vd2</t>
  </si>
  <si>
    <t>Verfinance</t>
  </si>
  <si>
    <t>Vd verfinance</t>
  </si>
  <si>
    <t>Δ Vd</t>
  </si>
  <si>
    <t>Holding SA</t>
  </si>
  <si>
    <t>Valeur unit.</t>
  </si>
  <si>
    <t>M EUR</t>
  </si>
  <si>
    <t>subvention</t>
  </si>
  <si>
    <t>1 USD</t>
  </si>
  <si>
    <t>date</t>
  </si>
  <si>
    <t>Parking</t>
  </si>
  <si>
    <t>Garage</t>
  </si>
  <si>
    <t>Gain sur achat extérieur</t>
  </si>
  <si>
    <t>CP</t>
  </si>
  <si>
    <t>rm</t>
  </si>
  <si>
    <t>VE/V</t>
  </si>
  <si>
    <t>debt</t>
  </si>
  <si>
    <t>amount</t>
  </si>
  <si>
    <t>Total revenues</t>
  </si>
  <si>
    <t>Share values</t>
  </si>
  <si>
    <t>Personal portfolio</t>
  </si>
  <si>
    <t>Underlying debt</t>
  </si>
  <si>
    <t>Sale of shares B</t>
  </si>
  <si>
    <t>Available cash</t>
  </si>
  <si>
    <t>Initial % of shares</t>
  </si>
  <si>
    <t>For the same level of risk:</t>
  </si>
  <si>
    <t>% of the portfolio in cash</t>
  </si>
  <si>
    <t>Shares C</t>
  </si>
  <si>
    <t>Investment in cash</t>
  </si>
  <si>
    <t>Portfolio return</t>
  </si>
  <si>
    <t>Example :</t>
  </si>
  <si>
    <t>VE</t>
  </si>
  <si>
    <t>Vd/(VE+Vd)</t>
  </si>
  <si>
    <t>Revenues from the shares</t>
  </si>
  <si>
    <t>Revenues from cash</t>
  </si>
  <si>
    <t>Reproduction of the financial structure</t>
  </si>
  <si>
    <t>for</t>
  </si>
  <si>
    <t>V Cap. Employed</t>
  </si>
  <si>
    <t>Initial money to invest</t>
  </si>
  <si>
    <t>Comparison of the 2 investments</t>
  </si>
  <si>
    <t>% of shares</t>
  </si>
  <si>
    <t>value of the shares</t>
  </si>
  <si>
    <t>annual dividends</t>
  </si>
  <si>
    <t>revenues</t>
  </si>
  <si>
    <t>Underlying P/E</t>
  </si>
  <si>
    <t>The arbitrage stops when the values of capital employed of the 2 companies converge.</t>
  </si>
  <si>
    <t>kE0</t>
  </si>
  <si>
    <t>Cap. Employed0</t>
  </si>
  <si>
    <t>Cap. employed1</t>
  </si>
  <si>
    <t>VE1</t>
  </si>
  <si>
    <t>kE1</t>
  </si>
  <si>
    <t>βE0</t>
  </si>
  <si>
    <t>βE1</t>
  </si>
  <si>
    <t>r risk free</t>
  </si>
  <si>
    <t>kE FT</t>
  </si>
  <si>
    <t>kE DT</t>
  </si>
  <si>
    <t>Vd/VE FT</t>
  </si>
  <si>
    <t>VE/V FT</t>
  </si>
  <si>
    <t>VE/V DT</t>
  </si>
  <si>
    <t>VE0</t>
  </si>
  <si>
    <t>V Cap. Empl.1</t>
  </si>
  <si>
    <t>V of tax saving</t>
  </si>
  <si>
    <t>New debt</t>
  </si>
  <si>
    <t>V of tax saving non received &gt; 4 years</t>
  </si>
  <si>
    <t>Total taxes</t>
  </si>
  <si>
    <t>Investors' net income</t>
  </si>
  <si>
    <t>Pre-tax profit</t>
  </si>
  <si>
    <t>Income tax</t>
  </si>
  <si>
    <t>on dividends/capital gains</t>
  </si>
  <si>
    <t>Call options Uninet</t>
  </si>
  <si>
    <t>Vd verfinance/n shares</t>
  </si>
  <si>
    <t>VE verfinance</t>
  </si>
  <si>
    <t>n shares Uninet</t>
  </si>
  <si>
    <t>V shares Uninet</t>
  </si>
  <si>
    <t>Strike price</t>
  </si>
  <si>
    <t>5-year option</t>
  </si>
  <si>
    <t>7-year option</t>
  </si>
  <si>
    <t>b. valuation of Equity and debt</t>
  </si>
  <si>
    <t>c. Increase of E value</t>
  </si>
  <si>
    <t>number of shares sold</t>
  </si>
  <si>
    <t>Option 1: Change debt maturity from 5 years to 7 years, so:</t>
  </si>
  <si>
    <t>Option 2: To sale some of the shares</t>
  </si>
  <si>
    <t>-&gt; Transfer of value from creditors to shareholders</t>
  </si>
  <si>
    <t>Option 3 : "Exchange" Uninet shares for much more volatile shares</t>
  </si>
  <si>
    <t>V Cap. Emp.</t>
  </si>
  <si>
    <t>Volatility Cap. Emp.</t>
  </si>
  <si>
    <t>before</t>
  </si>
  <si>
    <t>after</t>
  </si>
  <si>
    <t>Δ VE</t>
  </si>
  <si>
    <t>number</t>
  </si>
  <si>
    <t>3-year option</t>
  </si>
  <si>
    <t>Debt/n shares Holding SA</t>
  </si>
  <si>
    <t>VE before</t>
  </si>
  <si>
    <t>Vd before</t>
  </si>
  <si>
    <t>Shares Fille SA sold</t>
  </si>
  <si>
    <t>V shares Fille SA</t>
  </si>
  <si>
    <t>Bonds issued</t>
  </si>
  <si>
    <t>V shares Holding SA</t>
  </si>
  <si>
    <t>Equity and liabilities</t>
  </si>
  <si>
    <t>Call option Fille SA</t>
  </si>
  <si>
    <t>VE after</t>
  </si>
  <si>
    <t>Vd after</t>
  </si>
  <si>
    <t>Shareholders</t>
  </si>
  <si>
    <t>Before</t>
  </si>
  <si>
    <t>After</t>
  </si>
  <si>
    <t>Yield to maturity debt</t>
  </si>
  <si>
    <t>Creditors</t>
  </si>
  <si>
    <t>Value of the option</t>
  </si>
  <si>
    <t>Call option of 94 shares Fille SA at the price of 300 000:</t>
  </si>
  <si>
    <t>1 EUR</t>
  </si>
  <si>
    <t>USD</t>
  </si>
  <si>
    <t>Cs (1 USD)</t>
  </si>
  <si>
    <t>Ct (1 USD)</t>
  </si>
  <si>
    <t>1 EUR Spot</t>
  </si>
  <si>
    <t>Gain</t>
  </si>
  <si>
    <t>Total</t>
  </si>
  <si>
    <t>Production</t>
  </si>
  <si>
    <t>Fixed assets</t>
  </si>
  <si>
    <t>Income tax expense</t>
  </si>
  <si>
    <t>Cash flow</t>
  </si>
  <si>
    <t>Change in working capital</t>
  </si>
  <si>
    <t>Cash flow from operating activities (A)</t>
  </si>
  <si>
    <t>Capital expenditures (B)</t>
  </si>
  <si>
    <t>Free cash flow (after tax and interest)</t>
  </si>
  <si>
    <t>Capital increase (C)</t>
  </si>
  <si>
    <t>Dividends (D)</t>
  </si>
  <si>
    <t>(A)-(B)+(C)-(D)=Net decrease in debt</t>
  </si>
  <si>
    <t>Exercise 2</t>
  </si>
  <si>
    <t>Sales margin (after tax)</t>
  </si>
  <si>
    <t>Return on equity</t>
  </si>
  <si>
    <t>Cost of borrowing before tax</t>
  </si>
  <si>
    <t>Capital employed</t>
  </si>
  <si>
    <t>Enter the shareholders' equity</t>
  </si>
  <si>
    <t>Financial structure</t>
  </si>
  <si>
    <t>Net debt</t>
  </si>
  <si>
    <t>Operating profit</t>
  </si>
  <si>
    <t>Interest and finance charges</t>
  </si>
  <si>
    <t>Exercise 3</t>
  </si>
  <si>
    <t>Leverage effect</t>
  </si>
  <si>
    <t>Consolidated income statement</t>
  </si>
  <si>
    <t>Consolidated balance sheet</t>
  </si>
  <si>
    <t>Goodwill</t>
  </si>
  <si>
    <t>+ Equity in associated companies</t>
  </si>
  <si>
    <t>+ Other investments</t>
  </si>
  <si>
    <t>Total inventories</t>
  </si>
  <si>
    <t>+ Total receivables</t>
  </si>
  <si>
    <t>+ Other operating receivables</t>
  </si>
  <si>
    <t>- Trade payables</t>
  </si>
  <si>
    <t>- Other operating payables</t>
  </si>
  <si>
    <t>Shareholders' equity, group share</t>
  </si>
  <si>
    <t>+ Bank overdrafts and short-term borrowings</t>
  </si>
  <si>
    <t>Net sales</t>
  </si>
  <si>
    <t>- Cost of sales</t>
  </si>
  <si>
    <t>Gross profit</t>
  </si>
  <si>
    <t>-Interest and other finance charges</t>
  </si>
  <si>
    <t>Interest and other finance charges (before tax)</t>
  </si>
  <si>
    <t>- Income tax</t>
  </si>
  <si>
    <t>- Income attrituable to minority interests</t>
  </si>
  <si>
    <t>ROCE</t>
  </si>
  <si>
    <t>Leverage</t>
  </si>
  <si>
    <t>Net cost of debt</t>
  </si>
  <si>
    <t>ROCE after tax</t>
  </si>
  <si>
    <t>Exercise 6</t>
  </si>
  <si>
    <t>Exercise 7</t>
  </si>
  <si>
    <t>Present value</t>
  </si>
  <si>
    <t>Rate</t>
  </si>
  <si>
    <t>Length</t>
  </si>
  <si>
    <t>Value received in 3 years</t>
  </si>
  <si>
    <t>Value received</t>
  </si>
  <si>
    <t>Capitalisation factor</t>
  </si>
  <si>
    <t>Money invested today</t>
  </si>
  <si>
    <t>Final value</t>
  </si>
  <si>
    <t>Gross payments</t>
  </si>
  <si>
    <t>Date (year)</t>
  </si>
  <si>
    <t>1. Payment</t>
  </si>
  <si>
    <t>Length (years)</t>
  </si>
  <si>
    <t>Value today</t>
  </si>
  <si>
    <t>Money capitalised</t>
  </si>
  <si>
    <t>Discounted payments</t>
  </si>
  <si>
    <t>Today</t>
  </si>
  <si>
    <t>In 4 years</t>
  </si>
  <si>
    <t>Discount rate</t>
  </si>
  <si>
    <t>Discounting factor</t>
  </si>
  <si>
    <t>Money invested</t>
  </si>
  <si>
    <t>Exercise 8</t>
  </si>
  <si>
    <t>Exercise 9</t>
  </si>
  <si>
    <t>Exercise 10</t>
  </si>
  <si>
    <t>Exercise 11</t>
  </si>
  <si>
    <t>Exercise 12</t>
  </si>
  <si>
    <t>Exercise 13</t>
  </si>
  <si>
    <t>Exercise 14</t>
  </si>
  <si>
    <t>Exercise 15</t>
  </si>
  <si>
    <t>Multiplicating factor</t>
  </si>
  <si>
    <t>Minimum rate</t>
  </si>
  <si>
    <t>Maximum price today</t>
  </si>
  <si>
    <t>Initial capital</t>
  </si>
  <si>
    <t>Date of investment</t>
  </si>
  <si>
    <t>pieces of silver</t>
  </si>
  <si>
    <t>Exercise 17</t>
  </si>
  <si>
    <t>Exercise 18</t>
  </si>
  <si>
    <t>Income</t>
  </si>
  <si>
    <t>Exercise 19</t>
  </si>
  <si>
    <t>Exercise 20</t>
  </si>
  <si>
    <t>Exercise 21</t>
  </si>
  <si>
    <t>Exercise 22</t>
  </si>
  <si>
    <t>Exercise 23</t>
  </si>
  <si>
    <t>Required return on shares</t>
  </si>
  <si>
    <t>Annual dividends</t>
  </si>
  <si>
    <t>Proportional rate over 3 months</t>
  </si>
  <si>
    <t>Yield to maturity</t>
  </si>
  <si>
    <t>Interest rate over 2 periods</t>
  </si>
  <si>
    <t>Length (year)</t>
  </si>
  <si>
    <t>Frequency of the payments</t>
  </si>
  <si>
    <t>Flows</t>
  </si>
  <si>
    <t>Investment A</t>
  </si>
  <si>
    <t>Investment B</t>
  </si>
  <si>
    <t>Bank 1</t>
  </si>
  <si>
    <t>Bank 2</t>
  </si>
  <si>
    <t>Frequency (month)</t>
  </si>
  <si>
    <t>Length (Days)</t>
  </si>
  <si>
    <t>Rate of return</t>
  </si>
  <si>
    <t>Interests</t>
  </si>
  <si>
    <t>Capital depreciation</t>
  </si>
  <si>
    <t>Annual payment</t>
  </si>
  <si>
    <t>Capital still owed</t>
  </si>
  <si>
    <t>Repayment in constant amortisation</t>
  </si>
  <si>
    <t>Repayment in fixed annual instalments</t>
  </si>
  <si>
    <t>Deferred (year)</t>
  </si>
  <si>
    <t>NPV</t>
  </si>
  <si>
    <t>Interests calculated differently</t>
  </si>
  <si>
    <t>Emission rate</t>
  </si>
  <si>
    <t>Repayment rate</t>
  </si>
  <si>
    <t>Interests rate</t>
  </si>
  <si>
    <t>Annual mgt fee</t>
  </si>
  <si>
    <t>Closing fee</t>
  </si>
  <si>
    <t>Pl. commission</t>
  </si>
  <si>
    <t>Flows issuer</t>
  </si>
  <si>
    <t>Flows buyer</t>
  </si>
  <si>
    <t>Value</t>
  </si>
  <si>
    <t>Monthly payment</t>
  </si>
  <si>
    <t>Date (months)</t>
  </si>
  <si>
    <t>Number of monthly payment</t>
  </si>
  <si>
    <t>Yield to maturity (annual)</t>
  </si>
  <si>
    <t>Market value</t>
  </si>
  <si>
    <t>Monthly interest rate</t>
  </si>
  <si>
    <t>Purchase of equipment</t>
  </si>
  <si>
    <t>Setup costs</t>
  </si>
  <si>
    <t>Depreciation over</t>
  </si>
  <si>
    <t>Useful life</t>
  </si>
  <si>
    <t>Residual value</t>
  </si>
  <si>
    <t>Increase of working capital</t>
  </si>
  <si>
    <t>Annual increase of EBITDA</t>
  </si>
  <si>
    <t>years</t>
  </si>
  <si>
    <t>Cash flow schedule</t>
  </si>
  <si>
    <t>Δ EBITDA</t>
  </si>
  <si>
    <t>Δ Working Capital</t>
  </si>
  <si>
    <t>Δ tax</t>
  </si>
  <si>
    <t>Cash flows</t>
  </si>
  <si>
    <t>Depreciation</t>
  </si>
  <si>
    <t>NPV calculation</t>
  </si>
  <si>
    <t>Yield to maturity calculation</t>
  </si>
  <si>
    <t>Purchase of new machine</t>
  </si>
  <si>
    <t>Cost</t>
  </si>
  <si>
    <t>Linear depreciation over 5 years</t>
  </si>
  <si>
    <t>Saving on charges per year</t>
  </si>
  <si>
    <t>Sale of second-hand machine</t>
  </si>
  <si>
    <t>Purchase cost (previous year)</t>
  </si>
  <si>
    <t>Net book value</t>
  </si>
  <si>
    <t>Potential sale price</t>
  </si>
  <si>
    <t>Required rate of return</t>
  </si>
  <si>
    <t>Tax credit on capital losses</t>
  </si>
  <si>
    <t>Cash flows to be discounted</t>
  </si>
  <si>
    <t>Cash flows schedule of the new machine in comparison with the old one</t>
  </si>
  <si>
    <t>Sale of old machine</t>
  </si>
  <si>
    <t>Capital loss</t>
  </si>
  <si>
    <t>Δ depreciation</t>
  </si>
  <si>
    <t>IRR</t>
  </si>
  <si>
    <t>Cumulated and discounted cash flows</t>
  </si>
  <si>
    <t>Initial outlay</t>
  </si>
  <si>
    <t>Subvention</t>
  </si>
  <si>
    <t>Schedule of cash flows</t>
  </si>
  <si>
    <t>investments</t>
  </si>
  <si>
    <t>Purchase of the new machine</t>
  </si>
  <si>
    <t>Price per unit</t>
  </si>
  <si>
    <t>Subcontractor offer</t>
  </si>
  <si>
    <t>Investment</t>
  </si>
  <si>
    <t>Δ Tax</t>
  </si>
  <si>
    <t>Number of PC Produced</t>
  </si>
  <si>
    <t>Exercise 3: Mumbai Oaks</t>
  </si>
  <si>
    <t>Exercise 3: Singapore Kite Surf Magazine</t>
  </si>
  <si>
    <t>Monthly data</t>
  </si>
  <si>
    <t>Items sold</t>
  </si>
  <si>
    <t>Per item</t>
  </si>
  <si>
    <t>Fabrication - delivery</t>
  </si>
  <si>
    <t>Yearly Subscription</t>
  </si>
  <si>
    <t>Number of months in a year</t>
  </si>
  <si>
    <t>Number of issues the first year</t>
  </si>
  <si>
    <t>- Fabrication / distribution</t>
  </si>
  <si>
    <t>Net Income</t>
  </si>
  <si>
    <t>Cash Flow Statement</t>
  </si>
  <si>
    <t>Operating Cash inflow</t>
  </si>
  <si>
    <t>Operating Cash outflow</t>
  </si>
  <si>
    <t>Cash Flow from operations</t>
  </si>
  <si>
    <t xml:space="preserve">Exercises </t>
  </si>
  <si>
    <t>-Selling and marketing costs</t>
  </si>
  <si>
    <t>- General and administrative costs</t>
  </si>
  <si>
    <t>+-  Other operating income and expense</t>
  </si>
  <si>
    <t>+Income from associates</t>
  </si>
  <si>
    <t>Recurring Operating profit</t>
  </si>
  <si>
    <t>+ - Non recurring profit</t>
  </si>
  <si>
    <t xml:space="preserve">Profit before tax </t>
  </si>
  <si>
    <t>+ Other intangibles</t>
  </si>
  <si>
    <t>+ Fixed tangibles</t>
  </si>
  <si>
    <t>Nonoperating Working Capital</t>
  </si>
  <si>
    <t>Operating Working Capital</t>
  </si>
  <si>
    <t>Retirement benefits</t>
  </si>
  <si>
    <t>Deferred tax</t>
  </si>
  <si>
    <t>Other long term benefits</t>
  </si>
  <si>
    <t>Long-term liabilities (excl. Fin Debt)</t>
  </si>
  <si>
    <t>+ Medium and long-term borrowings</t>
  </si>
  <si>
    <t>Operating Income</t>
  </si>
  <si>
    <t>Actual Tax Rate</t>
  </si>
  <si>
    <t>Shareholder equity, group share</t>
  </si>
  <si>
    <t>ROE group share</t>
  </si>
  <si>
    <t xml:space="preserve">Interest paid </t>
  </si>
  <si>
    <t>Remaining capital 
to pay back</t>
  </si>
  <si>
    <t>Interest rate on remaining capital</t>
  </si>
  <si>
    <t>Exercise Rawhajpoutalah Intl.</t>
  </si>
  <si>
    <t>Exercise 4: Nestlé</t>
  </si>
  <si>
    <t>SFbn</t>
  </si>
  <si>
    <t>equity method</t>
  </si>
  <si>
    <t>% held</t>
  </si>
  <si>
    <t xml:space="preserve">L'Oréal </t>
  </si>
  <si>
    <t>Ve Nestlé</t>
  </si>
  <si>
    <t>Total revenue</t>
  </si>
  <si>
    <t>Tunisia</t>
  </si>
  <si>
    <t>&lt; 10%....</t>
  </si>
  <si>
    <t>Dilution</t>
  </si>
  <si>
    <t>Before Capital increase</t>
  </si>
  <si>
    <t>Last price</t>
  </si>
  <si>
    <t>Capital increase conditions</t>
  </si>
  <si>
    <t>new shares</t>
  </si>
  <si>
    <t>old shares</t>
  </si>
  <si>
    <t>New number of shares</t>
  </si>
  <si>
    <t>Delta shareholders get 100% of synergies</t>
  </si>
  <si>
    <t>Gamma shareholders get 100% of synergies</t>
  </si>
  <si>
    <t>Gamma share for every Delta share</t>
  </si>
  <si>
    <t>Shareholders who subscribed to the capital increase</t>
  </si>
  <si>
    <t>after capable. Increase</t>
  </si>
  <si>
    <t>Shareholders without subscribing to the capital increase</t>
  </si>
  <si>
    <t>n</t>
  </si>
  <si>
    <t>n+1</t>
  </si>
  <si>
    <t>n+2</t>
  </si>
  <si>
    <t>n+3</t>
  </si>
  <si>
    <t>n+4</t>
  </si>
  <si>
    <t>n+5</t>
  </si>
  <si>
    <t>Profit before tax and non-recurring items</t>
  </si>
  <si>
    <t>Graphic card</t>
  </si>
  <si>
    <t>DVD combo</t>
  </si>
  <si>
    <t>Opening balance</t>
  </si>
  <si>
    <t>Closing balance</t>
  </si>
  <si>
    <t>Crisis simulation (on the basis of the sales of 2010)</t>
  </si>
  <si>
    <t>Low R&amp;D costs</t>
  </si>
  <si>
    <t>Exercise 3: L'Oréal and Carlsberg</t>
  </si>
  <si>
    <t>L'Oréal</t>
  </si>
  <si>
    <t>Carlsberg</t>
  </si>
  <si>
    <t>-R&amp;D costs</t>
  </si>
  <si>
    <t>2. Equal payments</t>
  </si>
  <si>
    <t>Value in 3 years 5 months and 17 days</t>
  </si>
  <si>
    <t>3 years 5 months and 17 days equals</t>
  </si>
  <si>
    <t>Objective standard dev. 14%</t>
  </si>
  <si>
    <t>Objective standard dev. 23%</t>
  </si>
  <si>
    <t>β Bharti Airtel</t>
  </si>
  <si>
    <t>β Rio Tinto</t>
  </si>
  <si>
    <t>r Rio Tinto</t>
  </si>
  <si>
    <t>r Bharti Airtel</t>
  </si>
  <si>
    <t>Imperial Tobacco</t>
  </si>
  <si>
    <t>Walmart</t>
  </si>
  <si>
    <t>UBS</t>
  </si>
  <si>
    <t>Estimated price Lapparent.com</t>
  </si>
  <si>
    <t>β Lapparent.com</t>
  </si>
  <si>
    <t>MEUR</t>
  </si>
  <si>
    <t>Duration</t>
  </si>
  <si>
    <t>----</t>
  </si>
  <si>
    <t>--</t>
  </si>
  <si>
    <t>+++</t>
  </si>
  <si>
    <t>++++</t>
  </si>
  <si>
    <t>0t1</t>
  </si>
  <si>
    <t>0t2</t>
  </si>
  <si>
    <t>0t3</t>
  </si>
  <si>
    <t>0t4</t>
  </si>
  <si>
    <t>0t5</t>
  </si>
  <si>
    <t>0t6</t>
  </si>
  <si>
    <t>0t7</t>
  </si>
  <si>
    <t>source : Les Echos de Moulinsart</t>
  </si>
  <si>
    <t>Exercise 1: Withoubones bond issue</t>
  </si>
  <si>
    <t>Amount</t>
  </si>
  <si>
    <t>Date of issue</t>
  </si>
  <si>
    <t>Settlement date</t>
  </si>
  <si>
    <t>Modified duration</t>
  </si>
  <si>
    <t>As at 21 February 2011</t>
  </si>
  <si>
    <t>Required yield to maturity</t>
  </si>
  <si>
    <t>Exercise 2: Mineral Waters from Syldavia</t>
  </si>
  <si>
    <t>ABY</t>
  </si>
  <si>
    <t>Value of the bond</t>
  </si>
  <si>
    <t>Yield to maturity tranche A</t>
  </si>
  <si>
    <t>Yield to maturity tranche B</t>
  </si>
  <si>
    <t>In case you anticipate interest rates to rise, select tranche A</t>
  </si>
  <si>
    <t>Mineral Waters from Syldavia borrowed at 8% while anticipating an increase in interest rates</t>
  </si>
  <si>
    <t>Retrospectively Mineral Waters from Syldavia borrowed at a lower rate than the market rate</t>
  </si>
  <si>
    <t>YTM + spread Withoutbones</t>
  </si>
  <si>
    <t>Spread Butchery Withoutbones</t>
  </si>
  <si>
    <t>Cash flow Butchery Withoutbones</t>
  </si>
  <si>
    <t>PV bond Butchery Withoutbones</t>
  </si>
  <si>
    <t>Exercise 3: Belgian Government issues</t>
  </si>
  <si>
    <t xml:space="preserve">Company </t>
  </si>
  <si>
    <t xml:space="preserve">Share price </t>
  </si>
  <si>
    <t>Arcelor Mittal</t>
  </si>
  <si>
    <t>Medium</t>
  </si>
  <si>
    <t>Negative</t>
  </si>
  <si>
    <t>ROE</t>
  </si>
  <si>
    <t>Increase of share price to 700 USD</t>
  </si>
  <si>
    <t>Decrease of share price to 450 USD</t>
  </si>
  <si>
    <t>+ 2 PSR</t>
  </si>
  <si>
    <t>Theoretical ex-right price</t>
  </si>
  <si>
    <t>Transaction</t>
  </si>
  <si>
    <t>Costs</t>
  </si>
  <si>
    <t>Calculation of the IRR</t>
  </si>
  <si>
    <t>Discunted payback ratio</t>
  </si>
  <si>
    <t>Additional customer credit</t>
  </si>
  <si>
    <t>Bad debt</t>
  </si>
  <si>
    <t>Additional bad debts</t>
  </si>
  <si>
    <t>Bad debts</t>
  </si>
  <si>
    <t>Net additional profit</t>
  </si>
  <si>
    <t>Required additional profit on additional investment</t>
  </si>
  <si>
    <t xml:space="preserve">Tax rate </t>
  </si>
  <si>
    <t>Net debt (31/12/2010)</t>
  </si>
  <si>
    <t>2011e operating profit</t>
  </si>
  <si>
    <t>2011e net profit</t>
  </si>
  <si>
    <t>VE method 1</t>
  </si>
  <si>
    <t>VE method 2</t>
  </si>
  <si>
    <t>c) Result of the transaction</t>
  </si>
  <si>
    <t>Vodafone</t>
  </si>
  <si>
    <t>p</t>
  </si>
  <si>
    <t>Exercice 2 : Share issue Saint Gobain</t>
  </si>
  <si>
    <t>Md€</t>
  </si>
  <si>
    <t>Exercise 1: Landmark car park</t>
  </si>
  <si>
    <t>Exercise 2: Alok Malpani</t>
  </si>
  <si>
    <t>EXERCICE  1</t>
  </si>
  <si>
    <t>EXERCICE  2</t>
  </si>
  <si>
    <t>EXERCICE  3</t>
  </si>
  <si>
    <t>taux d'intérêt</t>
  </si>
  <si>
    <t>EXERCICE  4</t>
  </si>
  <si>
    <t>HT</t>
  </si>
  <si>
    <t>EXERCICE  5</t>
  </si>
  <si>
    <t>If the factory buys the retailer, it carries working capital of 900 over 90 days and of 100 over 30 days, or an average of 933 over 90 days compared with 900 over 60 days.  
Its working capital has thus increased.</t>
  </si>
  <si>
    <t xml:space="preserve">Let’s take the above example again.  
This time, let’s say that the retailer buys the factory.  
It carries 1,080 over 30 days.  
Now it has to carry 900 over 90 days and 100 over 30 days, or an average of 933 over 90 days.  
Its working capital has thus increased. </t>
  </si>
  <si>
    <t>in</t>
  </si>
  <si>
    <t>VAT</t>
  </si>
  <si>
    <t>amount with 75 days</t>
  </si>
  <si>
    <t>amount with 60 days</t>
  </si>
  <si>
    <t>Cash gain</t>
  </si>
  <si>
    <t xml:space="preserve">Monthly margin: 
100,000 × 25 % = €25,000. 
Company’s financial risk: 
100,000 × (1  – 25%) × 3 months = €225,000. 
225 / 25 = 9 months of margins collected. 
Period of 9 + 3 months of margins not collected = 1 year.  
A 2-month payment period means 3 months of invoices, as customers generally go bankrupt just before a payment is due and not just after they have paid. 
</t>
  </si>
  <si>
    <t>Beginning 2014</t>
  </si>
  <si>
    <t>End 2014</t>
  </si>
  <si>
    <t>End 2015</t>
  </si>
  <si>
    <t>End 2016</t>
  </si>
  <si>
    <t>N</t>
  </si>
  <si>
    <t>N+1</t>
  </si>
  <si>
    <t>N+2</t>
  </si>
  <si>
    <t>N+3</t>
  </si>
  <si>
    <t xml:space="preserve">Assumption : simulation based on N+3 sales equal to N+2 sales, 50% of N+2 net income distributed </t>
  </si>
  <si>
    <t>See answer in the book</t>
  </si>
  <si>
    <t>Exercises 2 to 5</t>
  </si>
  <si>
    <t>See answers in the book</t>
  </si>
  <si>
    <t>Restated net debt</t>
  </si>
  <si>
    <t>Length in 2014</t>
  </si>
  <si>
    <t>Capitalised amount</t>
  </si>
  <si>
    <t>Flux</t>
  </si>
  <si>
    <t>Flux de l'année</t>
  </si>
  <si>
    <t>placé au bout de …. ans</t>
  </si>
  <si>
    <t>vaut</t>
  </si>
  <si>
    <t>cumul</t>
  </si>
  <si>
    <t>Valeur</t>
  </si>
  <si>
    <t xml:space="preserve">Si valeur finale = </t>
  </si>
  <si>
    <t>alors la somme annuelle placée à 4 % est :</t>
  </si>
  <si>
    <t>par an</t>
  </si>
  <si>
    <t>Exercise 24</t>
  </si>
  <si>
    <t>Exercise 25</t>
  </si>
  <si>
    <r>
      <t xml:space="preserve">NPV </t>
    </r>
    <r>
      <rPr>
        <i/>
        <sz val="10"/>
        <rFont val="Calibri"/>
        <family val="2"/>
        <scheme val="minor"/>
      </rPr>
      <t>Investment A</t>
    </r>
  </si>
  <si>
    <r>
      <t xml:space="preserve">NPV </t>
    </r>
    <r>
      <rPr>
        <i/>
        <sz val="10"/>
        <rFont val="Calibri"/>
        <family val="2"/>
        <scheme val="minor"/>
      </rPr>
      <t>Investment B</t>
    </r>
  </si>
  <si>
    <r>
      <t>b</t>
    </r>
    <r>
      <rPr>
        <vertAlign val="subscript"/>
        <sz val="10"/>
        <rFont val="Calibri"/>
        <family val="2"/>
        <scheme val="minor"/>
      </rPr>
      <t>j1</t>
    </r>
  </si>
  <si>
    <r>
      <t>b</t>
    </r>
    <r>
      <rPr>
        <b/>
        <vertAlign val="subscript"/>
        <sz val="10"/>
        <rFont val="Calibri"/>
        <family val="2"/>
        <scheme val="minor"/>
      </rPr>
      <t>j2</t>
    </r>
  </si>
  <si>
    <t xml:space="preserve">Belgacom </t>
  </si>
  <si>
    <t>Hermes</t>
  </si>
  <si>
    <t>NM</t>
  </si>
  <si>
    <t>EPS CAGR (2012-2014)</t>
  </si>
  <si>
    <t>P/E 2014</t>
  </si>
  <si>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</si>
  <si>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</si>
  <si>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t>Exercise Billabong</t>
  </si>
  <si>
    <t>Value of 9 shares - 9 PSR</t>
  </si>
  <si>
    <t>- 9 PSR</t>
  </si>
  <si>
    <t>Price of 9 shares issued + 2 PSR</t>
  </si>
  <si>
    <t>Using</t>
  </si>
  <si>
    <t>Remaining PSR</t>
  </si>
  <si>
    <t>max!</t>
  </si>
  <si>
    <t>EBIT 2013</t>
  </si>
  <si>
    <t>Net debt (31/12/2013)</t>
  </si>
  <si>
    <t>2013 EBIT multiple of food groups</t>
  </si>
  <si>
    <r>
      <t>k</t>
    </r>
    <r>
      <rPr>
        <vertAlign val="subscript"/>
        <sz val="10"/>
        <rFont val="Calibri"/>
        <family val="2"/>
        <scheme val="minor"/>
      </rPr>
      <t>E</t>
    </r>
  </si>
  <si>
    <r>
      <t>V</t>
    </r>
    <r>
      <rPr>
        <vertAlign val="subscript"/>
        <sz val="10"/>
        <rFont val="Calibri"/>
        <family val="2"/>
        <scheme val="minor"/>
      </rPr>
      <t>E</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</si>
  <si>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</si>
  <si>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/(VE+V</t>
    </r>
    <r>
      <rPr>
        <vertAlign val="subscript"/>
        <sz val="10"/>
        <rFont val="Calibri"/>
        <family val="2"/>
        <scheme val="minor"/>
      </rPr>
      <t>D</t>
    </r>
    <r>
      <rPr>
        <sz val="10"/>
        <rFont val="Calibri"/>
        <family val="2"/>
        <scheme val="minor"/>
      </rPr>
      <t>)</t>
    </r>
  </si>
  <si>
    <r>
      <t>k</t>
    </r>
    <r>
      <rPr>
        <vertAlign val="subscript"/>
        <sz val="10"/>
        <rFont val="Calibri"/>
        <family val="2"/>
        <scheme val="minor"/>
      </rPr>
      <t>D</t>
    </r>
  </si>
  <si>
    <t>The Netherlands</t>
  </si>
  <si>
    <t>Issue discount
(after detachment of subscription rights)</t>
  </si>
  <si>
    <t>25%-30%</t>
  </si>
  <si>
    <t>30%-35%</t>
  </si>
  <si>
    <t>&gt;35%</t>
  </si>
  <si>
    <t>Options</t>
  </si>
  <si>
    <t>Contribution</t>
  </si>
  <si>
    <t>% of capital obtained</t>
  </si>
  <si>
    <t>Value post money</t>
  </si>
  <si>
    <t>Value pre-money</t>
  </si>
  <si>
    <t>Financing</t>
  </si>
  <si>
    <t>Contribution by the entrepreneur</t>
  </si>
  <si>
    <t>% of capital for busines angels</t>
  </si>
  <si>
    <t>Value 2 months later</t>
  </si>
  <si>
    <t>Case 1</t>
  </si>
  <si>
    <t>Case 2</t>
  </si>
  <si>
    <t>Gain (loss) entrepreneur</t>
  </si>
  <si>
    <t>Gain (loss) business angels</t>
  </si>
  <si>
    <t>Number of shares founders</t>
  </si>
  <si>
    <t>% founders</t>
  </si>
  <si>
    <t>Number of shares investors</t>
  </si>
  <si>
    <t>% investors</t>
  </si>
  <si>
    <t>Price per share founders</t>
  </si>
  <si>
    <t>Price per share investors</t>
  </si>
  <si>
    <t>% obtained</t>
  </si>
  <si>
    <t>Implied value for 100%</t>
  </si>
  <si>
    <t>Without full ratchet</t>
  </si>
  <si>
    <t>With full ratchet</t>
  </si>
  <si>
    <t>% Fund</t>
  </si>
  <si>
    <t>Price in 5 years</t>
  </si>
  <si>
    <t>IRR before option</t>
  </si>
  <si>
    <t>IRR after option</t>
  </si>
  <si>
    <t>Control by Mr Alpha</t>
  </si>
  <si>
    <t>Control by Mr Beta</t>
  </si>
  <si>
    <t xml:space="preserve">1.      A factory pays all of its suppliers 900 on day 1, and receives 980 from its retailer customer on day 60.  The retailer pays its supplier (the factory) 980 and 100 to other suppliers on day 60, and receives 1,100 from its customers on day 90.  
For 60 days, the factory has a cash deficit of 900, which is its working capital, and makes a margin of 80. For 30 days, the retailer has a cash deficit of 1,080, which is its working capital, and makes a margin of 1,100 – 980 – 100 = 20. </t>
  </si>
  <si>
    <t>financial gain at 4%</t>
  </si>
  <si>
    <t>N+20</t>
  </si>
  <si>
    <t>N+19</t>
  </si>
  <si>
    <t>N+18</t>
  </si>
  <si>
    <t>N+17</t>
  </si>
  <si>
    <t>N+16</t>
  </si>
  <si>
    <t>N+15</t>
  </si>
  <si>
    <t>N+14</t>
  </si>
  <si>
    <t>N+13</t>
  </si>
  <si>
    <t>N+12</t>
  </si>
  <si>
    <t>N+11</t>
  </si>
  <si>
    <t>N+10</t>
  </si>
  <si>
    <t>N+9</t>
  </si>
  <si>
    <t>N+8</t>
  </si>
  <si>
    <t>N+7</t>
  </si>
  <si>
    <t>N+6</t>
  </si>
  <si>
    <t>N+5</t>
  </si>
  <si>
    <t>N+4</t>
  </si>
  <si>
    <t>Purchases</t>
  </si>
  <si>
    <t>Personnel expense</t>
  </si>
  <si>
    <t>Other operating charges (excl. Rent and depreciaiton &amp; amortisation)</t>
  </si>
  <si>
    <t>Rents</t>
  </si>
  <si>
    <t>Income tax (35%)</t>
  </si>
  <si>
    <t>Income tax rate</t>
  </si>
  <si>
    <t>INCOME STATEMENT</t>
  </si>
  <si>
    <t>BALANCE SHEET</t>
  </si>
  <si>
    <t>Net financial debt</t>
  </si>
  <si>
    <t>Invested capital</t>
  </si>
  <si>
    <t>CASH FLOW STATEMENT</t>
  </si>
  <si>
    <t>Cash Flow</t>
  </si>
  <si>
    <t>Cash flow from operations (*)</t>
  </si>
  <si>
    <t>(*) After interests</t>
  </si>
  <si>
    <t>Free cash flow after interests</t>
  </si>
  <si>
    <t>Increase (decrease) in net debt</t>
  </si>
  <si>
    <t>Debt scenario</t>
  </si>
  <si>
    <t>kd before tax</t>
  </si>
  <si>
    <t>Cash flows post financing</t>
  </si>
  <si>
    <t>OWNER</t>
  </si>
  <si>
    <t>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</si>
</sst>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 _F_-;\-* #,##0.00\ _F_-;_-* &quot;-&quot;??\ _F_-;_-@_-"/>
    <numFmt numFmtId="165" formatCode="0.0"/>
    <numFmt numFmtId="166" formatCode="#,##0.00\ _F"/>
    <numFmt numFmtId="167" formatCode="#,##0.0\ _F"/>
    <numFmt numFmtId="168" formatCode="#,##0\ _F"/>
    <numFmt numFmtId="169" formatCode="0.0%"/>
    <numFmt numFmtId="170" formatCode="0.000"/>
    <numFmt numFmtId="171" formatCode="0.0000"/>
    <numFmt numFmtId="172" formatCode="0.00000000"/>
    <numFmt numFmtId="173" formatCode="_-* #,##0\ _F_-;\-* #,##0\ _F_-;_-* &quot;-&quot;??\ _F_-;_-@_-"/>
    <numFmt numFmtId="174" formatCode="0.000%"/>
    <numFmt numFmtId="175" formatCode="0.0000%"/>
    <numFmt numFmtId="176" formatCode="0.00000%"/>
    <numFmt numFmtId="177" formatCode="#,##0\ _€"/>
    <numFmt numFmtId="178" formatCode="#,##0.0\ _€"/>
    <numFmt numFmtId="179" formatCode="#,##0.00\ _€"/>
    <numFmt numFmtId="180" formatCode="&quot;€m &quot;0.0"/>
    <numFmt numFmtId="181" formatCode="mmm"/>
    <numFmt numFmtId="182" formatCode="&quot;INR &quot;#,##0\ _F"/>
    <numFmt numFmtId="183" formatCode="#,##0\ &quot;€&quot;"/>
    <numFmt numFmtId="184" formatCode="#,##0.0000\ _F"/>
    <numFmt numFmtId="185" formatCode="#,##0_ ;[Red]\-#,##0\ "/>
    <numFmt numFmtId="186" formatCode="#,##0;\(#,##0\);&quot;-&quot;"/>
  </numFmts>
  <fonts count="35" x14ac:knownFonts="1">
    <font>
      <sz val="10"/>
      <name val="Verdana"/>
      <family val="2"/>
    </font>
    <font>
      <sz val="10"/>
      <name val="Arial"/>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10"/>
      <color indexed="32"/>
      <name val="Verdana"/>
      <family val="2"/>
    </font>
    <font>
      <b/>
      <sz val="11"/>
      <name val="Calibri"/>
      <family val="2"/>
      <scheme val="minor"/>
    </font>
    <font>
      <sz val="10"/>
      <name val="Calibri"/>
      <family val="2"/>
      <scheme val="minor"/>
    </font>
    <font>
      <b/>
      <sz val="10"/>
      <name val="Calibri"/>
      <family val="2"/>
      <scheme val="minor"/>
    </font>
    <font>
      <b/>
      <i/>
      <sz val="10"/>
      <name val="Calibri"/>
      <family val="2"/>
      <scheme val="minor"/>
    </font>
    <font>
      <sz val="10"/>
      <color indexed="32"/>
      <name val="Calibri"/>
      <family val="2"/>
      <scheme val="minor"/>
    </font>
    <font>
      <i/>
      <sz val="10"/>
      <name val="Calibri"/>
      <family val="2"/>
      <scheme val="minor"/>
    </font>
    <font>
      <sz val="10"/>
      <color indexed="55"/>
      <name val="Calibri"/>
      <family val="2"/>
      <scheme val="minor"/>
    </font>
    <font>
      <b/>
      <sz val="10"/>
      <color indexed="12"/>
      <name val="Calibri"/>
      <family val="2"/>
      <scheme val="minor"/>
    </font>
    <font>
      <b/>
      <u/>
      <sz val="10"/>
      <name val="Calibri"/>
      <family val="2"/>
      <scheme val="minor"/>
    </font>
    <font>
      <u/>
      <sz val="10"/>
      <name val="Calibri"/>
      <family val="2"/>
      <scheme val="minor"/>
    </font>
    <font>
      <b/>
      <sz val="14"/>
      <name val="Calibri"/>
      <family val="2"/>
      <scheme val="minor"/>
    </font>
    <font>
      <sz val="10"/>
      <name val="Arial"/>
      <family val="2"/>
    </font>
    <font>
      <sz val="10"/>
      <color indexed="8"/>
      <name val="Calibri"/>
      <family val="2"/>
      <scheme val="minor"/>
    </font>
    <font>
      <vertAlign val="subscript"/>
      <sz val="10"/>
      <name val="Calibri"/>
      <family val="2"/>
      <scheme val="minor"/>
    </font>
    <font>
      <b/>
      <vertAlign val="subscript"/>
      <sz val="10"/>
      <name val="Calibri"/>
      <family val="2"/>
      <scheme val="minor"/>
    </font>
    <font>
      <sz val="8"/>
      <name val="Calibri"/>
      <family val="2"/>
      <scheme val="minor"/>
    </font>
    <font>
      <b/>
      <sz val="9"/>
      <name val="Calibri"/>
      <family val="2"/>
      <scheme val="minor"/>
    </font>
    <font>
      <i/>
      <u/>
      <sz val="10"/>
      <name val="Calibri"/>
      <family val="2"/>
      <scheme val="minor"/>
    </font>
    <font>
      <sz val="10"/>
      <color indexed="10"/>
      <name val="Calibri"/>
      <family val="2"/>
      <scheme val="minor"/>
    </font>
    <font>
      <b/>
      <sz val="10"/>
      <color indexed="8"/>
      <name val="Calibri"/>
      <family val="2"/>
      <scheme val="minor"/>
    </font>
    <font>
      <u/>
      <sz val="10"/>
      <color indexed="12"/>
      <name val="Calibri"/>
      <family val="2"/>
      <scheme val="minor"/>
    </font>
    <font>
      <sz val="10"/>
      <color indexed="12"/>
      <name val="Calibri"/>
      <family val="2"/>
      <scheme val="minor"/>
    </font>
    <font>
      <i/>
      <sz val="10"/>
      <color indexed="53"/>
      <name val="Calibri"/>
      <family val="2"/>
      <scheme val="minor"/>
    </font>
    <font>
      <b/>
      <sz val="10"/>
      <name val="Arial"/>
      <family val="2"/>
    </font>
    <font>
      <b/>
      <u/>
      <sz val="10"/>
      <name val="Arial"/>
      <family val="2"/>
    </font>
    <font>
      <b/>
      <u/>
      <sz val="10"/>
      <name val="Verdana"/>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alignment vertical="top"/>
    </xf>
    <xf numFmtId="168" fontId="7" fillId="0" borderId="0">
      <alignment vertical="top"/>
    </xf>
    <xf numFmtId="166" fontId="8" fillId="2" borderId="0" applyNumberFormat="0" applyProtection="0">
      <alignment vertical="top"/>
    </xf>
    <xf numFmtId="164"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164" fontId="20" fillId="0" borderId="0" applyFont="0" applyFill="0" applyBorder="0" applyAlignment="0" applyProtection="0"/>
    <xf numFmtId="9" fontId="20" fillId="0" borderId="0" applyFont="0" applyFill="0" applyBorder="0" applyAlignment="0" applyProtection="0"/>
  </cellStyleXfs>
  <cellXfs count="486">
    <xf numFmtId="0" fontId="0" fillId="0" borderId="0" xfId="0">
      <alignment vertical="top"/>
    </xf>
    <xf numFmtId="2" fontId="0" fillId="0" borderId="0" xfId="0" applyNumberFormat="1">
      <alignment vertical="top"/>
    </xf>
    <xf numFmtId="0" fontId="3" fillId="0" borderId="0" xfId="6">
      <alignment vertical="top"/>
    </xf>
    <xf numFmtId="0" fontId="0" fillId="0" borderId="0" xfId="0" applyBorder="1">
      <alignment vertical="top"/>
    </xf>
    <xf numFmtId="0" fontId="0" fillId="0" borderId="0" xfId="0" applyAlignment="1">
      <alignment horizontal="right" vertical="top"/>
    </xf>
    <xf numFmtId="0" fontId="5" fillId="0" borderId="0" xfId="8">
      <alignment vertical="top" wrapText="1"/>
    </xf>
    <xf numFmtId="0" fontId="0" fillId="0" borderId="0" xfId="0" applyFill="1" applyBorder="1">
      <alignment vertical="top"/>
    </xf>
    <xf numFmtId="0" fontId="0" fillId="0" borderId="0" xfId="8" applyFont="1">
      <alignment vertical="top" wrapText="1"/>
    </xf>
    <xf numFmtId="0" fontId="9" fillId="0" borderId="0" xfId="6" applyFont="1">
      <alignment vertical="top"/>
    </xf>
    <xf numFmtId="0" fontId="10" fillId="0" borderId="0" xfId="0" applyFont="1">
      <alignment vertical="top"/>
    </xf>
    <xf numFmtId="0" fontId="11" fillId="0" borderId="0" xfId="0" applyFont="1" applyAlignment="1">
      <alignment vertical="top" wrapText="1"/>
    </xf>
    <xf numFmtId="0" fontId="11" fillId="0" borderId="0" xfId="0" applyFont="1" applyAlignment="1">
      <alignment horizontal="right" vertical="top"/>
    </xf>
    <xf numFmtId="0" fontId="10" fillId="0" borderId="0" xfId="0" applyFont="1" applyAlignment="1">
      <alignment vertical="top" wrapText="1"/>
    </xf>
    <xf numFmtId="0" fontId="11" fillId="0" borderId="0" xfId="0" applyFont="1">
      <alignment vertical="top"/>
    </xf>
    <xf numFmtId="165" fontId="10" fillId="0" borderId="12" xfId="0" applyNumberFormat="1" applyFont="1" applyBorder="1" applyAlignment="1">
      <alignment vertical="top" wrapText="1"/>
    </xf>
    <xf numFmtId="165" fontId="10" fillId="0" borderId="0" xfId="0" applyNumberFormat="1" applyFont="1">
      <alignment vertical="top"/>
    </xf>
    <xf numFmtId="2" fontId="10" fillId="0" borderId="0" xfId="0" applyNumberFormat="1" applyFont="1">
      <alignment vertical="top"/>
    </xf>
    <xf numFmtId="165" fontId="10" fillId="0" borderId="9" xfId="0" applyNumberFormat="1" applyFont="1" applyBorder="1" applyAlignment="1">
      <alignment vertical="top" wrapText="1"/>
    </xf>
    <xf numFmtId="165" fontId="10" fillId="0" borderId="13" xfId="0" applyNumberFormat="1" applyFont="1" applyBorder="1" applyAlignment="1">
      <alignment vertical="top" wrapText="1"/>
    </xf>
    <xf numFmtId="0" fontId="11" fillId="0" borderId="0" xfId="0" applyNumberFormat="1" applyFont="1" applyAlignment="1">
      <alignment horizontal="right" vertical="top"/>
    </xf>
    <xf numFmtId="0" fontId="11" fillId="0" borderId="0" xfId="0" applyNumberFormat="1" applyFont="1" applyAlignment="1">
      <alignment horizontal="center" vertical="top"/>
    </xf>
    <xf numFmtId="165" fontId="10" fillId="0" borderId="12" xfId="0" applyNumberFormat="1" applyFont="1" applyBorder="1">
      <alignment vertical="top"/>
    </xf>
    <xf numFmtId="165" fontId="10" fillId="0" borderId="9" xfId="0" applyNumberFormat="1" applyFont="1" applyBorder="1">
      <alignment vertical="top"/>
    </xf>
    <xf numFmtId="165" fontId="10" fillId="0" borderId="13" xfId="0" applyNumberFormat="1" applyFont="1" applyBorder="1">
      <alignment vertical="top"/>
    </xf>
    <xf numFmtId="166" fontId="10" fillId="0" borderId="0" xfId="0" applyNumberFormat="1" applyFont="1">
      <alignment vertical="top"/>
    </xf>
    <xf numFmtId="164" fontId="10" fillId="0" borderId="0" xfId="3" applyFont="1" applyAlignment="1">
      <alignment vertical="top"/>
    </xf>
    <xf numFmtId="0" fontId="10" fillId="0" borderId="0" xfId="0" applyFont="1" applyFill="1">
      <alignment vertical="top"/>
    </xf>
    <xf numFmtId="0" fontId="10" fillId="0" borderId="0" xfId="0" applyFont="1" applyAlignment="1">
      <alignment horizontal="right" vertical="top"/>
    </xf>
    <xf numFmtId="0" fontId="10" fillId="0" borderId="0" xfId="0" quotePrefix="1" applyFont="1">
      <alignment vertical="top"/>
    </xf>
    <xf numFmtId="0" fontId="10" fillId="0" borderId="1" xfId="0" applyFont="1" applyBorder="1">
      <alignment vertical="top"/>
    </xf>
    <xf numFmtId="0" fontId="10" fillId="0" borderId="0" xfId="0" applyFont="1" applyFill="1" applyBorder="1">
      <alignment vertical="top"/>
    </xf>
    <xf numFmtId="1" fontId="10" fillId="0" borderId="0" xfId="0" applyNumberFormat="1" applyFont="1">
      <alignment vertical="top"/>
    </xf>
    <xf numFmtId="0" fontId="11" fillId="0" borderId="0" xfId="6" applyFont="1">
      <alignment vertical="top"/>
    </xf>
    <xf numFmtId="0" fontId="15" fillId="0" borderId="0" xfId="0" applyFont="1" applyFill="1" applyAlignment="1">
      <alignment horizontal="left" vertical="top" indent="1"/>
    </xf>
    <xf numFmtId="166" fontId="15" fillId="0" borderId="0" xfId="0" applyNumberFormat="1" applyFont="1">
      <alignment vertical="top"/>
    </xf>
    <xf numFmtId="0" fontId="10" fillId="0" borderId="0" xfId="0" applyFont="1" applyAlignment="1">
      <alignment horizontal="left" vertical="top" indent="1"/>
    </xf>
    <xf numFmtId="0" fontId="10" fillId="0" borderId="0" xfId="0" applyFont="1" applyAlignment="1">
      <alignment horizontal="left" vertical="top" wrapText="1" indent="1"/>
    </xf>
    <xf numFmtId="0" fontId="11" fillId="0" borderId="0" xfId="0" applyFont="1" applyAlignment="1">
      <alignment horizontal="left" vertical="top" wrapText="1"/>
    </xf>
    <xf numFmtId="1" fontId="11" fillId="0" borderId="0" xfId="0" applyNumberFormat="1" applyFont="1" applyAlignment="1">
      <alignment horizontal="right" vertical="center"/>
    </xf>
    <xf numFmtId="0" fontId="11" fillId="0" borderId="0" xfId="0" applyFont="1" applyAlignment="1">
      <alignment horizontal="right" vertical="top" wrapText="1"/>
    </xf>
    <xf numFmtId="181" fontId="11" fillId="0" borderId="0" xfId="0" applyNumberFormat="1" applyFont="1" applyAlignment="1">
      <alignment horizontal="right" vertical="top"/>
    </xf>
    <xf numFmtId="17" fontId="11" fillId="0" borderId="0" xfId="0" applyNumberFormat="1" applyFont="1" applyAlignment="1">
      <alignment horizontal="right" vertical="top"/>
    </xf>
    <xf numFmtId="167" fontId="10" fillId="0" borderId="0" xfId="0" applyNumberFormat="1" applyFont="1">
      <alignment vertical="top"/>
    </xf>
    <xf numFmtId="168" fontId="10" fillId="0" borderId="0" xfId="0" applyNumberFormat="1" applyFont="1">
      <alignment vertical="top"/>
    </xf>
    <xf numFmtId="173" fontId="10" fillId="0" borderId="0" xfId="3" applyNumberFormat="1" applyFont="1" applyAlignment="1">
      <alignment vertical="top"/>
    </xf>
    <xf numFmtId="0" fontId="11" fillId="0" borderId="0" xfId="6" applyFont="1" applyFill="1">
      <alignment vertical="top"/>
    </xf>
    <xf numFmtId="166" fontId="10" fillId="0" borderId="0" xfId="0" applyNumberFormat="1" applyFont="1" applyFill="1" applyAlignment="1">
      <alignment vertical="top" wrapText="1"/>
    </xf>
    <xf numFmtId="0" fontId="10" fillId="0" borderId="0" xfId="0" applyFont="1" applyFill="1" applyAlignment="1">
      <alignment vertical="top" wrapText="1"/>
    </xf>
    <xf numFmtId="0" fontId="12" fillId="0" borderId="0" xfId="0" applyFont="1" applyFill="1">
      <alignment vertical="top"/>
    </xf>
    <xf numFmtId="166" fontId="10" fillId="0" borderId="0" xfId="0" applyNumberFormat="1" applyFont="1" applyFill="1">
      <alignment vertical="top"/>
    </xf>
    <xf numFmtId="168" fontId="10" fillId="0" borderId="0" xfId="0" applyNumberFormat="1" applyFont="1" applyFill="1">
      <alignment vertical="top"/>
    </xf>
    <xf numFmtId="173" fontId="10" fillId="0" borderId="0" xfId="3" applyNumberFormat="1" applyFont="1" applyFill="1" applyAlignment="1">
      <alignment vertical="top"/>
    </xf>
    <xf numFmtId="173" fontId="10" fillId="0" borderId="0" xfId="0" applyNumberFormat="1" applyFont="1" applyFill="1">
      <alignment vertical="top"/>
    </xf>
    <xf numFmtId="168" fontId="15" fillId="0" borderId="0" xfId="0" applyNumberFormat="1" applyFont="1" applyFill="1">
      <alignment vertical="top"/>
    </xf>
    <xf numFmtId="166" fontId="15" fillId="0" borderId="0" xfId="0" applyNumberFormat="1" applyFont="1" applyFill="1">
      <alignment vertical="top"/>
    </xf>
    <xf numFmtId="0" fontId="15" fillId="0" borderId="0" xfId="0" applyFont="1" applyFill="1">
      <alignment vertical="top"/>
    </xf>
    <xf numFmtId="173" fontId="15" fillId="0" borderId="0" xfId="0" applyNumberFormat="1" applyFont="1" applyFill="1">
      <alignment vertical="top"/>
    </xf>
    <xf numFmtId="166" fontId="16" fillId="0" borderId="0" xfId="0" applyNumberFormat="1" applyFont="1" applyFill="1">
      <alignment vertical="top"/>
    </xf>
    <xf numFmtId="0" fontId="11" fillId="0" borderId="0" xfId="0" applyFont="1" applyFill="1">
      <alignment vertical="top"/>
    </xf>
    <xf numFmtId="173" fontId="15" fillId="0" borderId="0" xfId="3" applyNumberFormat="1" applyFont="1" applyFill="1" applyAlignment="1">
      <alignment vertical="top"/>
    </xf>
    <xf numFmtId="0" fontId="10" fillId="0" borderId="0" xfId="0" applyFont="1" applyFill="1" applyAlignment="1">
      <alignment horizontal="right" vertical="top"/>
    </xf>
    <xf numFmtId="166" fontId="10" fillId="0" borderId="0" xfId="0" applyNumberFormat="1" applyFont="1" applyFill="1" applyAlignment="1">
      <alignment horizontal="right" vertical="top"/>
    </xf>
    <xf numFmtId="0" fontId="10" fillId="0" borderId="0" xfId="0" applyFont="1" applyFill="1" applyAlignment="1">
      <alignment horizontal="left" vertical="top" indent="1"/>
    </xf>
    <xf numFmtId="0" fontId="13" fillId="0" borderId="0" xfId="2" applyNumberFormat="1" applyFont="1" applyFill="1">
      <alignment vertical="top"/>
    </xf>
    <xf numFmtId="168" fontId="13" fillId="0" borderId="0" xfId="2" applyNumberFormat="1" applyFont="1" applyFill="1">
      <alignment vertical="top"/>
    </xf>
    <xf numFmtId="166" fontId="13" fillId="0" borderId="0" xfId="2" applyNumberFormat="1" applyFont="1" applyFill="1">
      <alignment vertical="top"/>
    </xf>
    <xf numFmtId="9" fontId="13" fillId="0" borderId="0" xfId="2" applyNumberFormat="1" applyFont="1" applyFill="1">
      <alignment vertical="top"/>
    </xf>
    <xf numFmtId="0" fontId="11" fillId="0" borderId="0" xfId="0" applyFont="1" applyFill="1" applyAlignment="1">
      <alignment vertical="top" wrapText="1"/>
    </xf>
    <xf numFmtId="168" fontId="11" fillId="0" borderId="0" xfId="0" applyNumberFormat="1" applyFont="1" applyFill="1" applyAlignment="1">
      <alignment horizontal="center" vertical="top"/>
    </xf>
    <xf numFmtId="166" fontId="10" fillId="0" borderId="0" xfId="0" applyNumberFormat="1" applyFont="1" applyFill="1" applyAlignment="1">
      <alignment horizontal="left" vertical="top" wrapText="1" indent="1"/>
    </xf>
    <xf numFmtId="0" fontId="10" fillId="0" borderId="0" xfId="0" applyFont="1" applyFill="1" applyAlignment="1">
      <alignment horizontal="left" vertical="top" wrapText="1" indent="1"/>
    </xf>
    <xf numFmtId="2" fontId="10" fillId="0" borderId="0" xfId="0" applyNumberFormat="1" applyFont="1" applyFill="1">
      <alignment vertical="top"/>
    </xf>
    <xf numFmtId="0" fontId="10" fillId="0" borderId="0" xfId="0" quotePrefix="1" applyFont="1" applyFill="1">
      <alignment vertical="top"/>
    </xf>
    <xf numFmtId="182" fontId="13" fillId="0" borderId="0" xfId="2" applyNumberFormat="1" applyFont="1" applyFill="1">
      <alignment vertical="top"/>
    </xf>
    <xf numFmtId="0" fontId="14" fillId="0" borderId="0" xfId="0" applyFont="1" applyFill="1">
      <alignment vertical="top"/>
    </xf>
    <xf numFmtId="0" fontId="10" fillId="0" borderId="1" xfId="0" applyFont="1" applyFill="1" applyBorder="1">
      <alignment vertical="top"/>
    </xf>
    <xf numFmtId="3" fontId="10" fillId="0" borderId="1" xfId="0" applyNumberFormat="1" applyFont="1" applyFill="1" applyBorder="1">
      <alignment vertical="top"/>
    </xf>
    <xf numFmtId="3" fontId="10" fillId="0" borderId="0" xfId="0" applyNumberFormat="1" applyFont="1" applyFill="1">
      <alignment vertical="top"/>
    </xf>
    <xf numFmtId="0" fontId="10" fillId="0" borderId="6" xfId="0" quotePrefix="1" applyFont="1" applyFill="1" applyBorder="1">
      <alignment vertical="top"/>
    </xf>
    <xf numFmtId="3" fontId="10" fillId="0" borderId="6" xfId="0" applyNumberFormat="1" applyFont="1" applyFill="1" applyBorder="1">
      <alignment vertical="top"/>
    </xf>
    <xf numFmtId="1" fontId="10" fillId="0" borderId="0" xfId="0" applyNumberFormat="1" applyFont="1" applyFill="1">
      <alignment vertical="top"/>
    </xf>
    <xf numFmtId="168" fontId="13" fillId="0" borderId="0" xfId="2" applyNumberFormat="1" applyFont="1" applyFill="1" applyAlignment="1">
      <alignment horizontal="right" vertical="top"/>
    </xf>
    <xf numFmtId="0" fontId="10" fillId="0" borderId="6" xfId="0" applyFont="1" applyFill="1" applyBorder="1">
      <alignment vertical="top"/>
    </xf>
    <xf numFmtId="167" fontId="10" fillId="0" borderId="0" xfId="0" applyNumberFormat="1" applyFont="1" applyFill="1">
      <alignment vertical="top"/>
    </xf>
    <xf numFmtId="167" fontId="13" fillId="0" borderId="0" xfId="2" applyNumberFormat="1" applyFont="1" applyFill="1">
      <alignment vertical="top"/>
    </xf>
    <xf numFmtId="168" fontId="10" fillId="0" borderId="0" xfId="0" applyNumberFormat="1" applyFont="1" applyFill="1" applyBorder="1" applyAlignment="1">
      <alignment vertical="top" wrapText="1"/>
    </xf>
    <xf numFmtId="0" fontId="11" fillId="0" borderId="0" xfId="0" applyFont="1" applyAlignment="1">
      <alignment horizontal="center" vertical="top"/>
    </xf>
    <xf numFmtId="0" fontId="11" fillId="0" borderId="1" xfId="0" applyFont="1" applyBorder="1" applyAlignment="1">
      <alignment vertical="top" wrapText="1"/>
    </xf>
    <xf numFmtId="0" fontId="10" fillId="0" borderId="0" xfId="0" quotePrefix="1" applyFont="1" applyAlignment="1">
      <alignment vertical="top" wrapText="1"/>
    </xf>
    <xf numFmtId="0" fontId="11" fillId="0" borderId="0" xfId="0" quotePrefix="1" applyFont="1" applyAlignment="1">
      <alignment vertical="top" wrapText="1"/>
    </xf>
    <xf numFmtId="0" fontId="11" fillId="0" borderId="1" xfId="0" quotePrefix="1" applyFont="1" applyBorder="1" applyAlignment="1">
      <alignment vertical="top" wrapText="1"/>
    </xf>
    <xf numFmtId="0" fontId="17" fillId="0" borderId="0" xfId="0" applyFont="1" applyAlignment="1">
      <alignment vertical="top" wrapText="1"/>
    </xf>
    <xf numFmtId="0" fontId="11" fillId="0" borderId="1" xfId="0" quotePrefix="1" applyFont="1" applyBorder="1">
      <alignment vertical="top"/>
    </xf>
    <xf numFmtId="0" fontId="17" fillId="0" borderId="0" xfId="0" applyFont="1">
      <alignment vertical="top"/>
    </xf>
    <xf numFmtId="167" fontId="10" fillId="0" borderId="1" xfId="0" applyNumberFormat="1" applyFont="1" applyBorder="1">
      <alignment vertical="top"/>
    </xf>
    <xf numFmtId="168" fontId="10" fillId="0" borderId="1" xfId="0" applyNumberFormat="1" applyFont="1" applyBorder="1">
      <alignment vertical="top"/>
    </xf>
    <xf numFmtId="168" fontId="10" fillId="0" borderId="0" xfId="0" applyNumberFormat="1" applyFont="1" applyBorder="1" applyAlignment="1">
      <alignment vertical="top" wrapText="1"/>
    </xf>
    <xf numFmtId="0" fontId="11" fillId="0" borderId="0" xfId="0" applyFont="1" applyFill="1" applyAlignment="1">
      <alignment horizontal="center" vertical="top"/>
    </xf>
    <xf numFmtId="167" fontId="11" fillId="0" borderId="0" xfId="0" applyNumberFormat="1" applyFont="1" applyFill="1">
      <alignment vertical="top"/>
    </xf>
    <xf numFmtId="0" fontId="9" fillId="0" borderId="0" xfId="6" applyFont="1" applyFill="1">
      <alignment vertical="top"/>
    </xf>
    <xf numFmtId="0" fontId="10" fillId="0" borderId="0" xfId="0" applyFont="1" applyFill="1" applyAlignment="1">
      <alignment vertical="top"/>
    </xf>
    <xf numFmtId="0" fontId="11" fillId="0" borderId="0" xfId="0" quotePrefix="1" applyFont="1" applyFill="1">
      <alignment vertical="top"/>
    </xf>
    <xf numFmtId="9" fontId="10" fillId="0" borderId="0" xfId="0" applyNumberFormat="1" applyFont="1" applyFill="1">
      <alignment vertical="top"/>
    </xf>
    <xf numFmtId="0" fontId="10" fillId="0" borderId="0" xfId="0" quotePrefix="1" applyFont="1" applyFill="1" applyAlignment="1">
      <alignment vertical="top" wrapText="1"/>
    </xf>
    <xf numFmtId="9" fontId="10" fillId="0" borderId="0" xfId="0" applyNumberFormat="1" applyFont="1">
      <alignment vertical="top"/>
    </xf>
    <xf numFmtId="9" fontId="10" fillId="0" borderId="0" xfId="4" applyFont="1" applyAlignment="1">
      <alignment vertical="top"/>
    </xf>
    <xf numFmtId="0" fontId="10" fillId="0" borderId="0" xfId="0" applyFont="1" applyBorder="1">
      <alignment vertical="top"/>
    </xf>
    <xf numFmtId="0" fontId="10" fillId="0" borderId="0" xfId="0" applyFont="1" applyAlignment="1">
      <alignment horizontal="center" vertical="top" wrapText="1"/>
    </xf>
    <xf numFmtId="0" fontId="10" fillId="0" borderId="0" xfId="0" applyFont="1" applyFill="1" applyAlignment="1">
      <alignment horizontal="center" vertical="top" wrapText="1"/>
    </xf>
    <xf numFmtId="0" fontId="17" fillId="0" borderId="0" xfId="0" applyFont="1" applyFill="1">
      <alignment vertical="top"/>
    </xf>
    <xf numFmtId="9" fontId="10" fillId="0" borderId="0" xfId="4" applyFont="1" applyFill="1" applyAlignment="1">
      <alignment vertical="top"/>
    </xf>
    <xf numFmtId="173" fontId="10" fillId="0" borderId="0" xfId="3" applyNumberFormat="1" applyFont="1" applyFill="1" applyBorder="1" applyAlignment="1">
      <alignment vertical="top"/>
    </xf>
    <xf numFmtId="0" fontId="10" fillId="0" borderId="0" xfId="0" applyFont="1" applyFill="1" applyBorder="1" applyAlignment="1">
      <alignment horizontal="left" vertical="top" indent="1"/>
    </xf>
    <xf numFmtId="173" fontId="10" fillId="0" borderId="0" xfId="0" applyNumberFormat="1" applyFont="1" applyFill="1" applyBorder="1">
      <alignment vertical="top"/>
    </xf>
    <xf numFmtId="2" fontId="10" fillId="0" borderId="0" xfId="0" applyNumberFormat="1" applyFont="1" applyFill="1" applyBorder="1">
      <alignment vertical="top"/>
    </xf>
    <xf numFmtId="0" fontId="11" fillId="0" borderId="1" xfId="0" applyFont="1" applyBorder="1" applyAlignment="1">
      <alignment horizontal="center" vertical="top"/>
    </xf>
    <xf numFmtId="165" fontId="10" fillId="0" borderId="0" xfId="0" applyNumberFormat="1" applyFont="1" applyAlignment="1">
      <alignment horizontal="center" vertical="top"/>
    </xf>
    <xf numFmtId="165" fontId="10" fillId="0" borderId="0" xfId="0" applyNumberFormat="1" applyFont="1" applyBorder="1" applyAlignment="1">
      <alignment horizontal="center" vertical="center"/>
    </xf>
    <xf numFmtId="165" fontId="10" fillId="0" borderId="0" xfId="0" applyNumberFormat="1" applyFont="1" applyBorder="1" applyAlignment="1">
      <alignment horizontal="center" vertical="top"/>
    </xf>
    <xf numFmtId="165" fontId="11" fillId="0" borderId="0" xfId="0" applyNumberFormat="1" applyFont="1" applyAlignment="1">
      <alignment horizontal="center" vertical="top"/>
    </xf>
    <xf numFmtId="0" fontId="18" fillId="0" borderId="0" xfId="0" applyFont="1" applyAlignment="1">
      <alignment horizontal="center" vertical="top"/>
    </xf>
    <xf numFmtId="0" fontId="10" fillId="0" borderId="0" xfId="0" applyFont="1" applyAlignment="1">
      <alignment horizontal="center" vertical="top"/>
    </xf>
    <xf numFmtId="0" fontId="10" fillId="0" borderId="0" xfId="0" applyFont="1" applyBorder="1" applyAlignment="1">
      <alignment horizontal="center" vertical="center"/>
    </xf>
    <xf numFmtId="169" fontId="10" fillId="0" borderId="0" xfId="4" applyNumberFormat="1" applyFont="1" applyAlignment="1">
      <alignment vertical="top"/>
    </xf>
    <xf numFmtId="0" fontId="10" fillId="0" borderId="0" xfId="6" applyFont="1">
      <alignment vertical="top"/>
    </xf>
    <xf numFmtId="0" fontId="10" fillId="0" borderId="0" xfId="6" applyFont="1" applyFill="1">
      <alignment vertical="top"/>
    </xf>
    <xf numFmtId="168" fontId="10" fillId="0" borderId="0" xfId="0" applyNumberFormat="1" applyFont="1" applyBorder="1">
      <alignment vertical="top"/>
    </xf>
    <xf numFmtId="0" fontId="11" fillId="0" borderId="1" xfId="0" applyFont="1" applyFill="1" applyBorder="1" applyAlignment="1">
      <alignment horizontal="center" vertical="top"/>
    </xf>
    <xf numFmtId="0" fontId="11" fillId="0" borderId="0" xfId="0" applyFont="1" applyFill="1" applyBorder="1" applyAlignment="1">
      <alignment horizontal="center" vertical="top"/>
    </xf>
    <xf numFmtId="0" fontId="13" fillId="0" borderId="1" xfId="2" applyNumberFormat="1" applyFont="1" applyFill="1" applyBorder="1">
      <alignment vertical="top"/>
    </xf>
    <xf numFmtId="169" fontId="10" fillId="0" borderId="0" xfId="4" applyNumberFormat="1" applyFont="1" applyFill="1" applyAlignment="1">
      <alignment vertical="top"/>
    </xf>
    <xf numFmtId="0" fontId="11" fillId="0" borderId="6" xfId="0" applyFont="1" applyFill="1" applyBorder="1" applyAlignment="1">
      <alignment vertical="center"/>
    </xf>
    <xf numFmtId="168" fontId="11" fillId="0" borderId="6" xfId="0" applyNumberFormat="1" applyFont="1" applyFill="1" applyBorder="1" applyAlignment="1">
      <alignment vertical="center"/>
    </xf>
    <xf numFmtId="0" fontId="10" fillId="0" borderId="0" xfId="0" applyFont="1" applyFill="1" applyAlignment="1">
      <alignment vertical="center"/>
    </xf>
    <xf numFmtId="9" fontId="10" fillId="0" borderId="0" xfId="4" applyFont="1" applyFill="1" applyAlignment="1">
      <alignment vertical="center"/>
    </xf>
    <xf numFmtId="0" fontId="11" fillId="0" borderId="0" xfId="0" applyFont="1" applyFill="1" applyBorder="1">
      <alignment vertical="top"/>
    </xf>
    <xf numFmtId="168" fontId="11" fillId="0" borderId="0" xfId="0" applyNumberFormat="1" applyFont="1" applyFill="1" applyBorder="1">
      <alignment vertical="top"/>
    </xf>
    <xf numFmtId="9" fontId="18" fillId="0" borderId="0" xfId="4" applyFont="1" applyFill="1" applyAlignment="1">
      <alignment horizontal="center" vertical="top"/>
    </xf>
    <xf numFmtId="0" fontId="11" fillId="0" borderId="1" xfId="0" applyFont="1" applyFill="1" applyBorder="1">
      <alignment vertical="top"/>
    </xf>
    <xf numFmtId="168" fontId="11" fillId="0" borderId="1" xfId="0" applyNumberFormat="1" applyFont="1" applyFill="1" applyBorder="1">
      <alignment vertical="top"/>
    </xf>
    <xf numFmtId="9" fontId="11" fillId="0" borderId="1" xfId="4" applyFont="1" applyFill="1" applyBorder="1" applyAlignment="1">
      <alignment vertical="top"/>
    </xf>
    <xf numFmtId="168" fontId="10" fillId="0" borderId="0" xfId="0" applyNumberFormat="1" applyFont="1" applyFill="1" applyBorder="1">
      <alignment vertical="top"/>
    </xf>
    <xf numFmtId="0" fontId="11" fillId="0" borderId="6" xfId="0" applyFont="1" applyFill="1" applyBorder="1">
      <alignment vertical="top"/>
    </xf>
    <xf numFmtId="168" fontId="11" fillId="0" borderId="6" xfId="0" applyNumberFormat="1" applyFont="1" applyFill="1" applyBorder="1">
      <alignment vertical="top"/>
    </xf>
    <xf numFmtId="9" fontId="11" fillId="0" borderId="6" xfId="4" applyFont="1" applyFill="1" applyBorder="1" applyAlignment="1">
      <alignment vertical="top"/>
    </xf>
    <xf numFmtId="0" fontId="17" fillId="0" borderId="0" xfId="0" applyFont="1" applyFill="1" applyBorder="1">
      <alignment vertical="top"/>
    </xf>
    <xf numFmtId="169" fontId="11" fillId="0" borderId="1" xfId="0" applyNumberFormat="1" applyFont="1" applyFill="1" applyBorder="1">
      <alignment vertical="top"/>
    </xf>
    <xf numFmtId="169" fontId="10" fillId="0" borderId="0" xfId="0" applyNumberFormat="1" applyFont="1" applyFill="1" applyBorder="1">
      <alignment vertical="top"/>
    </xf>
    <xf numFmtId="167" fontId="10" fillId="0" borderId="1" xfId="0" applyNumberFormat="1" applyFont="1" applyFill="1" applyBorder="1">
      <alignment vertical="top"/>
    </xf>
    <xf numFmtId="9" fontId="14" fillId="0" borderId="0" xfId="4" applyFont="1" applyFill="1" applyAlignment="1">
      <alignment vertical="top"/>
    </xf>
    <xf numFmtId="167" fontId="13" fillId="0" borderId="1" xfId="2" applyNumberFormat="1" applyFont="1" applyFill="1" applyBorder="1">
      <alignment vertical="top"/>
    </xf>
    <xf numFmtId="165" fontId="10" fillId="0" borderId="0" xfId="0" applyNumberFormat="1" applyFont="1" applyFill="1">
      <alignment vertical="top"/>
    </xf>
    <xf numFmtId="9" fontId="10" fillId="0" borderId="0" xfId="4" applyFont="1" applyFill="1" applyBorder="1" applyAlignment="1">
      <alignment vertical="top"/>
    </xf>
    <xf numFmtId="9" fontId="10" fillId="0" borderId="1" xfId="4" applyFont="1" applyFill="1" applyBorder="1" applyAlignment="1">
      <alignment vertical="top"/>
    </xf>
    <xf numFmtId="165" fontId="10" fillId="0" borderId="1" xfId="0" applyNumberFormat="1" applyFont="1" applyFill="1" applyBorder="1">
      <alignment vertical="top"/>
    </xf>
    <xf numFmtId="0" fontId="11" fillId="0" borderId="0" xfId="0" applyFont="1" applyFill="1" applyAlignment="1">
      <alignment horizontal="right" vertical="top"/>
    </xf>
    <xf numFmtId="2" fontId="13" fillId="0" borderId="0" xfId="2" applyNumberFormat="1" applyFont="1" applyFill="1">
      <alignment vertical="top"/>
    </xf>
    <xf numFmtId="10" fontId="13" fillId="0" borderId="0" xfId="2" applyNumberFormat="1" applyFont="1" applyFill="1">
      <alignment vertical="top"/>
    </xf>
    <xf numFmtId="10" fontId="10" fillId="0" borderId="0" xfId="4" applyNumberFormat="1" applyFont="1" applyFill="1" applyAlignment="1">
      <alignment vertical="top"/>
    </xf>
    <xf numFmtId="0" fontId="10" fillId="0" borderId="0" xfId="0" applyFont="1" applyFill="1" applyAlignment="1">
      <alignment horizontal="center" vertical="top"/>
    </xf>
    <xf numFmtId="0" fontId="11" fillId="0" borderId="0" xfId="0" applyFont="1" applyFill="1" applyAlignment="1">
      <alignment horizontal="center" vertical="top" wrapText="1"/>
    </xf>
    <xf numFmtId="0" fontId="16" fillId="0" borderId="0" xfId="0" applyFont="1" applyFill="1">
      <alignment vertical="top"/>
    </xf>
    <xf numFmtId="10" fontId="10" fillId="0" borderId="0" xfId="0" applyNumberFormat="1" applyFont="1">
      <alignment vertical="top"/>
    </xf>
    <xf numFmtId="10" fontId="11" fillId="0" borderId="0" xfId="0" applyNumberFormat="1" applyFont="1">
      <alignment vertical="top"/>
    </xf>
    <xf numFmtId="169" fontId="10" fillId="0" borderId="0" xfId="0" applyNumberFormat="1" applyFont="1">
      <alignment vertical="top"/>
    </xf>
    <xf numFmtId="167" fontId="10" fillId="0" borderId="0" xfId="0" applyNumberFormat="1" applyFont="1" applyBorder="1">
      <alignment vertical="top"/>
    </xf>
    <xf numFmtId="0" fontId="10" fillId="0" borderId="0" xfId="0" quotePrefix="1" applyFont="1" applyFill="1" applyBorder="1">
      <alignment vertical="top"/>
    </xf>
    <xf numFmtId="167" fontId="10" fillId="0" borderId="0" xfId="0" applyNumberFormat="1" applyFont="1" applyFill="1" applyBorder="1">
      <alignment vertical="top"/>
    </xf>
    <xf numFmtId="167" fontId="11" fillId="0" borderId="6" xfId="0" applyNumberFormat="1" applyFont="1" applyFill="1" applyBorder="1">
      <alignment vertical="top"/>
    </xf>
    <xf numFmtId="167" fontId="11" fillId="0" borderId="1" xfId="0" applyNumberFormat="1" applyFont="1" applyFill="1" applyBorder="1">
      <alignment vertical="top"/>
    </xf>
    <xf numFmtId="167" fontId="11" fillId="0" borderId="0" xfId="0" applyNumberFormat="1" applyFont="1">
      <alignment vertical="top"/>
    </xf>
    <xf numFmtId="169" fontId="11" fillId="0" borderId="0" xfId="4" applyNumberFormat="1" applyFont="1" applyAlignment="1">
      <alignment vertical="top"/>
    </xf>
    <xf numFmtId="167" fontId="14" fillId="0" borderId="0" xfId="0" applyNumberFormat="1" applyFont="1" applyFill="1">
      <alignment vertical="top"/>
    </xf>
    <xf numFmtId="0" fontId="19" fillId="0" borderId="0" xfId="0" applyFont="1" applyFill="1">
      <alignment vertical="top"/>
    </xf>
    <xf numFmtId="10" fontId="10" fillId="0" borderId="0" xfId="0" applyNumberFormat="1" applyFont="1" applyFill="1">
      <alignment vertical="top"/>
    </xf>
    <xf numFmtId="2" fontId="10" fillId="0" borderId="1" xfId="3" applyNumberFormat="1" applyFont="1" applyFill="1" applyBorder="1" applyAlignment="1">
      <alignment vertical="top"/>
    </xf>
    <xf numFmtId="10" fontId="11" fillId="0" borderId="0" xfId="0" applyNumberFormat="1" applyFont="1" applyFill="1">
      <alignment vertical="top"/>
    </xf>
    <xf numFmtId="169" fontId="10" fillId="0" borderId="0" xfId="0" applyNumberFormat="1" applyFont="1" applyFill="1">
      <alignment vertical="top"/>
    </xf>
    <xf numFmtId="0" fontId="11" fillId="0" borderId="0" xfId="0" applyNumberFormat="1" applyFont="1" applyFill="1" applyBorder="1" applyAlignment="1">
      <alignment horizontal="center" vertical="top"/>
    </xf>
    <xf numFmtId="167" fontId="10" fillId="0" borderId="6" xfId="0" applyNumberFormat="1" applyFont="1" applyFill="1" applyBorder="1">
      <alignment vertical="top"/>
    </xf>
    <xf numFmtId="0" fontId="10" fillId="0" borderId="1" xfId="0" quotePrefix="1" applyFont="1" applyFill="1" applyBorder="1">
      <alignment vertical="top"/>
    </xf>
    <xf numFmtId="167" fontId="11" fillId="0" borderId="0" xfId="0" applyNumberFormat="1" applyFont="1" applyFill="1" applyBorder="1">
      <alignment vertical="top"/>
    </xf>
    <xf numFmtId="169" fontId="11" fillId="0" borderId="0" xfId="4" applyNumberFormat="1" applyFont="1" applyFill="1" applyAlignment="1">
      <alignment vertical="top"/>
    </xf>
    <xf numFmtId="1" fontId="10" fillId="0" borderId="0" xfId="0" applyNumberFormat="1" applyFont="1" applyBorder="1">
      <alignment vertical="top"/>
    </xf>
    <xf numFmtId="9" fontId="21" fillId="0" borderId="0" xfId="0" applyNumberFormat="1" applyFont="1">
      <alignment vertical="top"/>
    </xf>
    <xf numFmtId="1" fontId="10" fillId="0" borderId="2" xfId="0" applyNumberFormat="1" applyFont="1" applyBorder="1">
      <alignment vertical="top"/>
    </xf>
    <xf numFmtId="0" fontId="11" fillId="0" borderId="5" xfId="0" applyFont="1" applyBorder="1">
      <alignment vertical="top"/>
    </xf>
    <xf numFmtId="0" fontId="10" fillId="0" borderId="5" xfId="0" applyFont="1" applyBorder="1">
      <alignment vertical="top"/>
    </xf>
    <xf numFmtId="170" fontId="10" fillId="0" borderId="0" xfId="0" applyNumberFormat="1" applyFont="1">
      <alignment vertical="top"/>
    </xf>
    <xf numFmtId="167" fontId="16" fillId="0" borderId="0" xfId="0" applyNumberFormat="1" applyFont="1">
      <alignment vertical="top"/>
    </xf>
    <xf numFmtId="0" fontId="10" fillId="0" borderId="2" xfId="0" applyFont="1" applyBorder="1">
      <alignment vertical="top"/>
    </xf>
    <xf numFmtId="166" fontId="10" fillId="0" borderId="2" xfId="0" applyNumberFormat="1" applyFont="1" applyBorder="1">
      <alignment vertical="top"/>
    </xf>
    <xf numFmtId="9" fontId="10" fillId="0" borderId="0" xfId="0" applyNumberFormat="1" applyFont="1" applyBorder="1">
      <alignment vertical="top"/>
    </xf>
    <xf numFmtId="11" fontId="10" fillId="0" borderId="0" xfId="0" applyNumberFormat="1" applyFont="1">
      <alignment vertical="top"/>
    </xf>
    <xf numFmtId="0" fontId="10" fillId="0" borderId="7" xfId="0" applyFont="1" applyBorder="1">
      <alignment vertical="top"/>
    </xf>
    <xf numFmtId="0" fontId="10" fillId="0" borderId="7" xfId="0" applyFont="1" applyBorder="1" applyAlignment="1">
      <alignment horizontal="center" vertical="top"/>
    </xf>
    <xf numFmtId="9" fontId="10" fillId="0" borderId="0" xfId="4" applyFont="1" applyAlignment="1">
      <alignment horizontal="center" vertical="top"/>
    </xf>
    <xf numFmtId="0" fontId="10" fillId="0" borderId="0" xfId="3" applyNumberFormat="1" applyFont="1" applyAlignment="1">
      <alignment vertical="top"/>
    </xf>
    <xf numFmtId="168" fontId="10" fillId="0" borderId="0" xfId="0" applyNumberFormat="1" applyFont="1" applyBorder="1" applyAlignment="1">
      <alignment vertical="center"/>
    </xf>
    <xf numFmtId="0" fontId="10" fillId="0" borderId="0" xfId="10" applyNumberFormat="1" applyFont="1" applyAlignment="1">
      <alignment vertical="top"/>
    </xf>
    <xf numFmtId="0" fontId="10" fillId="0" borderId="0" xfId="0" applyNumberFormat="1" applyFont="1">
      <alignment vertical="top"/>
    </xf>
    <xf numFmtId="183" fontId="10" fillId="0" borderId="0" xfId="0" applyNumberFormat="1" applyFont="1">
      <alignment vertical="top"/>
    </xf>
    <xf numFmtId="10" fontId="10" fillId="0" borderId="0" xfId="4" applyNumberFormat="1" applyFont="1" applyAlignment="1">
      <alignment vertical="top"/>
    </xf>
    <xf numFmtId="170" fontId="10" fillId="0" borderId="0" xfId="3" applyNumberFormat="1" applyFont="1" applyAlignment="1">
      <alignment vertical="top"/>
    </xf>
    <xf numFmtId="0" fontId="11" fillId="0" borderId="0" xfId="0" applyFont="1" applyAlignment="1">
      <alignment horizontal="center" vertical="top"/>
    </xf>
    <xf numFmtId="175" fontId="10" fillId="0" borderId="0" xfId="4" applyNumberFormat="1" applyFont="1" applyAlignment="1">
      <alignment vertical="top"/>
    </xf>
    <xf numFmtId="39" fontId="10" fillId="0" borderId="0" xfId="3" applyNumberFormat="1" applyFont="1" applyAlignment="1">
      <alignment vertical="top"/>
    </xf>
    <xf numFmtId="0" fontId="10" fillId="0" borderId="0" xfId="0" applyFont="1" applyAlignment="1">
      <alignment horizontal="right" vertical="top" wrapText="1"/>
    </xf>
    <xf numFmtId="174" fontId="11" fillId="0" borderId="0" xfId="4" applyNumberFormat="1" applyFont="1" applyAlignment="1">
      <alignment vertical="top"/>
    </xf>
    <xf numFmtId="172" fontId="10" fillId="0" borderId="0" xfId="0" applyNumberFormat="1" applyFont="1">
      <alignment vertical="top"/>
    </xf>
    <xf numFmtId="174" fontId="10" fillId="0" borderId="0" xfId="4" applyNumberFormat="1" applyFont="1" applyAlignment="1">
      <alignment vertical="top"/>
    </xf>
    <xf numFmtId="0" fontId="15" fillId="0" borderId="0" xfId="0" applyFont="1" applyAlignment="1">
      <alignment horizontal="center" vertical="top" wrapText="1"/>
    </xf>
    <xf numFmtId="17" fontId="10" fillId="0" borderId="0" xfId="0" applyNumberFormat="1" applyFont="1">
      <alignment vertical="top"/>
    </xf>
    <xf numFmtId="10" fontId="21" fillId="0" borderId="0" xfId="4" applyNumberFormat="1" applyFont="1" applyAlignment="1">
      <alignment vertical="top"/>
    </xf>
    <xf numFmtId="10" fontId="11" fillId="0" borderId="0" xfId="4" applyNumberFormat="1" applyFont="1" applyAlignment="1">
      <alignment vertical="top"/>
    </xf>
    <xf numFmtId="0" fontId="18" fillId="0" borderId="0" xfId="0" applyFont="1">
      <alignment vertical="top"/>
    </xf>
    <xf numFmtId="0" fontId="14" fillId="0" borderId="0" xfId="0" applyFont="1" applyAlignment="1">
      <alignment horizontal="left" vertical="top"/>
    </xf>
    <xf numFmtId="164" fontId="10" fillId="0" borderId="2" xfId="3" applyFont="1" applyBorder="1" applyAlignment="1">
      <alignment vertical="top"/>
    </xf>
    <xf numFmtId="169" fontId="10" fillId="0" borderId="2" xfId="0" applyNumberFormat="1" applyFont="1" applyBorder="1">
      <alignment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174" fontId="10" fillId="0" borderId="0" xfId="0" applyNumberFormat="1" applyFont="1">
      <alignment vertical="top"/>
    </xf>
    <xf numFmtId="14" fontId="10" fillId="0" borderId="0" xfId="0" applyNumberFormat="1" applyFont="1">
      <alignment vertical="top"/>
    </xf>
    <xf numFmtId="2" fontId="11" fillId="0" borderId="0" xfId="0" applyNumberFormat="1" applyFont="1">
      <alignment vertical="top"/>
    </xf>
    <xf numFmtId="165" fontId="11" fillId="0" borderId="0" xfId="0" applyNumberFormat="1" applyFont="1">
      <alignment vertical="top"/>
    </xf>
    <xf numFmtId="170" fontId="11" fillId="0" borderId="0" xfId="0" applyNumberFormat="1" applyFont="1">
      <alignment vertical="top"/>
    </xf>
    <xf numFmtId="0" fontId="10" fillId="3" borderId="0" xfId="0" applyFont="1" applyFill="1">
      <alignment vertical="top"/>
    </xf>
    <xf numFmtId="10" fontId="10" fillId="3" borderId="0" xfId="0" applyNumberFormat="1" applyFont="1" applyFill="1">
      <alignment vertical="top"/>
    </xf>
    <xf numFmtId="0" fontId="10" fillId="0" borderId="0" xfId="0" quotePrefix="1" applyFont="1" applyAlignment="1">
      <alignment horizontal="center" vertical="top"/>
    </xf>
    <xf numFmtId="10" fontId="10" fillId="3" borderId="0" xfId="4" applyNumberFormat="1" applyFont="1" applyFill="1" applyAlignment="1">
      <alignment vertical="top"/>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15" fontId="10" fillId="0" borderId="0" xfId="0" applyNumberFormat="1" applyFont="1" applyAlignment="1">
      <alignment horizontal="center" vertical="top"/>
    </xf>
    <xf numFmtId="0" fontId="10" fillId="0" borderId="0" xfId="3" applyNumberFormat="1" applyFont="1" applyAlignment="1">
      <alignment horizontal="center" vertical="top"/>
    </xf>
    <xf numFmtId="10" fontId="10" fillId="0" borderId="4" xfId="4" applyNumberFormat="1" applyFont="1" applyBorder="1" applyAlignment="1">
      <alignment vertical="top"/>
    </xf>
    <xf numFmtId="10" fontId="10" fillId="0" borderId="4" xfId="0" applyNumberFormat="1" applyFont="1" applyBorder="1">
      <alignment vertical="top"/>
    </xf>
    <xf numFmtId="15" fontId="14" fillId="0" borderId="0" xfId="0" applyNumberFormat="1" applyFont="1" applyAlignment="1">
      <alignment horizontal="left" vertical="top"/>
    </xf>
    <xf numFmtId="10" fontId="10" fillId="0" borderId="0" xfId="4" applyNumberFormat="1" applyFont="1" applyBorder="1" applyAlignment="1">
      <alignment vertical="top"/>
    </xf>
    <xf numFmtId="10" fontId="10" fillId="0" borderId="0" xfId="0" applyNumberFormat="1" applyFont="1" applyBorder="1">
      <alignment vertical="top"/>
    </xf>
    <xf numFmtId="0" fontId="10" fillId="0" borderId="0" xfId="0" applyFont="1" applyAlignment="1">
      <alignment horizontal="left" vertical="top"/>
    </xf>
    <xf numFmtId="0" fontId="10" fillId="0" borderId="1" xfId="0" applyFont="1" applyBorder="1" applyAlignment="1">
      <alignment horizontal="center" vertical="top"/>
    </xf>
    <xf numFmtId="9" fontId="10" fillId="0" borderId="0" xfId="0" applyNumberFormat="1" applyFont="1" applyAlignment="1">
      <alignment horizontal="center"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0" fontId="10" fillId="0" borderId="9" xfId="0" applyFont="1" applyBorder="1" applyAlignment="1">
      <alignment horizontal="center" vertical="top"/>
    </xf>
    <xf numFmtId="0" fontId="10" fillId="0" borderId="4" xfId="0" applyFont="1" applyBorder="1" applyAlignment="1">
      <alignment horizontal="center" vertical="top"/>
    </xf>
    <xf numFmtId="0" fontId="10" fillId="0" borderId="13" xfId="0" applyFont="1" applyBorder="1" applyAlignment="1">
      <alignment horizontal="center" vertical="top"/>
    </xf>
    <xf numFmtId="0" fontId="10" fillId="0" borderId="9" xfId="0" applyFont="1" applyFill="1" applyBorder="1" applyAlignment="1">
      <alignment horizontal="center" vertical="top"/>
    </xf>
    <xf numFmtId="0" fontId="10" fillId="0" borderId="9" xfId="0" quotePrefix="1" applyFont="1" applyBorder="1" applyAlignment="1">
      <alignment horizontal="center" vertical="top"/>
    </xf>
    <xf numFmtId="169" fontId="10" fillId="0" borderId="0" xfId="4" applyNumberFormat="1" applyFont="1" applyAlignment="1">
      <alignment horizontal="center" vertical="top"/>
    </xf>
    <xf numFmtId="0" fontId="10" fillId="0" borderId="3" xfId="0" applyFont="1" applyBorder="1">
      <alignment vertical="top"/>
    </xf>
    <xf numFmtId="0" fontId="10" fillId="0" borderId="4" xfId="0" applyFont="1" applyBorder="1">
      <alignment vertical="top"/>
    </xf>
    <xf numFmtId="0" fontId="10" fillId="3" borderId="0" xfId="0" applyFont="1" applyFill="1" applyBorder="1" applyAlignment="1">
      <alignment horizontal="center" vertical="top"/>
    </xf>
    <xf numFmtId="164" fontId="10" fillId="0" borderId="0" xfId="3" applyFont="1" applyAlignment="1">
      <alignment horizontal="center" vertical="top"/>
    </xf>
    <xf numFmtId="0" fontId="10" fillId="0" borderId="4" xfId="0" applyFont="1" applyBorder="1" applyAlignment="1">
      <alignment horizontal="left" vertical="top"/>
    </xf>
    <xf numFmtId="10" fontId="10" fillId="3" borderId="0" xfId="4" applyNumberFormat="1" applyFont="1" applyFill="1" applyBorder="1" applyAlignment="1">
      <alignment horizontal="center" vertical="top"/>
    </xf>
    <xf numFmtId="0" fontId="10" fillId="0" borderId="5" xfId="0" applyFont="1" applyBorder="1" applyAlignment="1">
      <alignment horizontal="center" vertical="top" wrapText="1"/>
    </xf>
    <xf numFmtId="0" fontId="10" fillId="0" borderId="13" xfId="0" applyFont="1" applyBorder="1" applyAlignment="1">
      <alignment horizontal="center" vertical="top" wrapText="1"/>
    </xf>
    <xf numFmtId="0" fontId="10" fillId="0" borderId="1" xfId="0" applyFont="1" applyBorder="1" applyAlignment="1">
      <alignment horizontal="center" vertical="top" wrapText="1"/>
    </xf>
    <xf numFmtId="0" fontId="10" fillId="0" borderId="3" xfId="0" applyFont="1" applyBorder="1" applyAlignment="1">
      <alignment horizontal="center" vertical="top" wrapText="1"/>
    </xf>
    <xf numFmtId="9" fontId="10" fillId="0" borderId="9" xfId="0" applyNumberFormat="1" applyFont="1" applyBorder="1" applyAlignment="1">
      <alignment horizontal="center" vertical="top"/>
    </xf>
    <xf numFmtId="10" fontId="10" fillId="0" borderId="9" xfId="0" applyNumberFormat="1" applyFont="1" applyBorder="1" applyAlignment="1">
      <alignment horizontal="center" vertical="top"/>
    </xf>
    <xf numFmtId="165" fontId="10" fillId="0" borderId="4" xfId="0" applyNumberFormat="1" applyFont="1" applyBorder="1" applyAlignment="1">
      <alignment horizontal="center" vertical="top"/>
    </xf>
    <xf numFmtId="9" fontId="10" fillId="0" borderId="9" xfId="4" applyFont="1" applyBorder="1" applyAlignment="1">
      <alignment horizontal="center" vertical="top"/>
    </xf>
    <xf numFmtId="164" fontId="11" fillId="3" borderId="0" xfId="3" applyFont="1" applyFill="1" applyAlignment="1">
      <alignment vertical="top"/>
    </xf>
    <xf numFmtId="169" fontId="11" fillId="3" borderId="0" xfId="0" applyNumberFormat="1" applyFont="1" applyFill="1">
      <alignment vertical="top"/>
    </xf>
    <xf numFmtId="177" fontId="10" fillId="0" borderId="0" xfId="0" applyNumberFormat="1" applyFont="1">
      <alignment vertical="top"/>
    </xf>
    <xf numFmtId="0" fontId="25" fillId="0" borderId="0" xfId="6" applyFont="1" applyAlignment="1">
      <alignment vertical="top"/>
    </xf>
    <xf numFmtId="0" fontId="10" fillId="0" borderId="0" xfId="8" applyFont="1" applyAlignment="1">
      <alignment vertical="top"/>
    </xf>
    <xf numFmtId="0" fontId="11" fillId="0" borderId="0" xfId="8" applyFont="1" applyAlignment="1">
      <alignment vertical="top"/>
    </xf>
    <xf numFmtId="178" fontId="10" fillId="0" borderId="0" xfId="0" applyNumberFormat="1" applyFont="1">
      <alignment vertical="top"/>
    </xf>
    <xf numFmtId="178" fontId="21" fillId="0" borderId="0" xfId="0" applyNumberFormat="1" applyFont="1">
      <alignment vertical="top"/>
    </xf>
    <xf numFmtId="0" fontId="10" fillId="0" borderId="0" xfId="0" applyFont="1" applyAlignment="1">
      <alignment vertical="top"/>
    </xf>
    <xf numFmtId="0" fontId="11" fillId="0" borderId="0" xfId="6" applyFont="1" applyAlignment="1">
      <alignment vertical="top"/>
    </xf>
    <xf numFmtId="177" fontId="10" fillId="0" borderId="0" xfId="0" applyNumberFormat="1" applyFont="1" applyAlignment="1">
      <alignment horizontal="center" vertical="top" wrapText="1"/>
    </xf>
    <xf numFmtId="0" fontId="10" fillId="0" borderId="0" xfId="8" applyFont="1" applyAlignment="1">
      <alignment horizontal="left" vertical="top" indent="1"/>
    </xf>
    <xf numFmtId="0" fontId="10" fillId="0" borderId="8" xfId="0" applyFont="1" applyBorder="1">
      <alignment vertical="top"/>
    </xf>
    <xf numFmtId="166" fontId="10" fillId="0" borderId="11" xfId="0" applyNumberFormat="1" applyFont="1" applyBorder="1" applyAlignment="1">
      <alignment horizontal="right" vertical="top"/>
    </xf>
    <xf numFmtId="0" fontId="10" fillId="0" borderId="10" xfId="0" quotePrefix="1" applyFont="1" applyBorder="1">
      <alignment vertical="top"/>
    </xf>
    <xf numFmtId="166" fontId="10" fillId="0" borderId="1" xfId="0" applyNumberFormat="1" applyFont="1" applyBorder="1" applyAlignment="1">
      <alignment horizontal="right" vertical="top"/>
    </xf>
    <xf numFmtId="0" fontId="10" fillId="0" borderId="3" xfId="0" quotePrefix="1" applyFont="1" applyBorder="1">
      <alignment vertical="top"/>
    </xf>
    <xf numFmtId="166" fontId="11" fillId="0" borderId="0" xfId="0" applyNumberFormat="1" applyFont="1">
      <alignment vertical="top"/>
    </xf>
    <xf numFmtId="166" fontId="17" fillId="0" borderId="0" xfId="0" applyNumberFormat="1" applyFont="1" applyFill="1">
      <alignment vertical="top"/>
    </xf>
    <xf numFmtId="166" fontId="10" fillId="0" borderId="0" xfId="0" applyNumberFormat="1" applyFont="1" applyAlignment="1">
      <alignment horizontal="center" vertical="top"/>
    </xf>
    <xf numFmtId="0" fontId="11" fillId="3" borderId="0" xfId="0" applyFont="1" applyFill="1" applyAlignment="1">
      <alignment horizontal="center" vertical="top"/>
    </xf>
    <xf numFmtId="0" fontId="14" fillId="0" borderId="0" xfId="0" quotePrefix="1" applyFont="1">
      <alignment vertical="top"/>
    </xf>
    <xf numFmtId="0" fontId="14" fillId="0" borderId="0" xfId="0" quotePrefix="1" applyFont="1" applyAlignment="1">
      <alignment horizontal="left" vertical="top"/>
    </xf>
    <xf numFmtId="184" fontId="11" fillId="0" borderId="0" xfId="0" applyNumberFormat="1" applyFont="1">
      <alignment vertical="top"/>
    </xf>
    <xf numFmtId="184" fontId="10" fillId="0" borderId="0" xfId="0" applyNumberFormat="1" applyFont="1">
      <alignment vertical="top"/>
    </xf>
    <xf numFmtId="168" fontId="11" fillId="0" borderId="0" xfId="0" applyNumberFormat="1" applyFont="1">
      <alignment vertical="top"/>
    </xf>
    <xf numFmtId="168" fontId="16" fillId="0" borderId="0" xfId="0" applyNumberFormat="1" applyFont="1">
      <alignment vertical="top"/>
    </xf>
    <xf numFmtId="0" fontId="14" fillId="0" borderId="0" xfId="0" applyFont="1">
      <alignment vertical="top"/>
    </xf>
    <xf numFmtId="2" fontId="10" fillId="0" borderId="0" xfId="0" applyNumberFormat="1" applyFont="1" applyAlignment="1">
      <alignment vertical="top"/>
    </xf>
    <xf numFmtId="0" fontId="26" fillId="0" borderId="0" xfId="7" applyFont="1">
      <alignment vertical="top"/>
    </xf>
    <xf numFmtId="0" fontId="10" fillId="0" borderId="1" xfId="0" applyFont="1" applyBorder="1" applyAlignment="1">
      <alignment vertical="top" wrapText="1"/>
    </xf>
    <xf numFmtId="2" fontId="10" fillId="0" borderId="2" xfId="0" applyNumberFormat="1" applyFont="1" applyBorder="1">
      <alignment vertical="top"/>
    </xf>
    <xf numFmtId="2" fontId="10" fillId="0" borderId="1" xfId="0" applyNumberFormat="1" applyFont="1" applyBorder="1">
      <alignment vertical="top"/>
    </xf>
    <xf numFmtId="0" fontId="10" fillId="0" borderId="0" xfId="0" applyFont="1" applyBorder="1" applyAlignment="1">
      <alignment vertical="top" wrapText="1"/>
    </xf>
    <xf numFmtId="2" fontId="10" fillId="0" borderId="0" xfId="0" applyNumberFormat="1" applyFont="1" applyBorder="1">
      <alignment vertical="top"/>
    </xf>
    <xf numFmtId="2" fontId="11" fillId="0" borderId="8" xfId="0" applyNumberFormat="1" applyFont="1" applyBorder="1">
      <alignment vertical="top"/>
    </xf>
    <xf numFmtId="0" fontId="10" fillId="0" borderId="0" xfId="0" applyFont="1" applyFill="1" applyBorder="1" applyAlignment="1">
      <alignment vertical="top" wrapText="1"/>
    </xf>
    <xf numFmtId="0" fontId="11" fillId="0" borderId="0" xfId="0" applyFont="1" applyFill="1" applyBorder="1" applyAlignment="1">
      <alignment vertical="top" wrapText="1"/>
    </xf>
    <xf numFmtId="169" fontId="11" fillId="0" borderId="0" xfId="0" applyNumberFormat="1" applyFont="1">
      <alignment vertical="top"/>
    </xf>
    <xf numFmtId="0" fontId="10" fillId="0" borderId="5" xfId="0" applyFont="1" applyBorder="1" applyAlignment="1">
      <alignment horizontal="center" vertical="top"/>
    </xf>
    <xf numFmtId="2" fontId="10" fillId="0" borderId="5" xfId="0" applyNumberFormat="1" applyFont="1" applyBorder="1">
      <alignment vertical="top"/>
    </xf>
    <xf numFmtId="2" fontId="10" fillId="0" borderId="8" xfId="0" applyNumberFormat="1" applyFont="1" applyBorder="1">
      <alignment vertical="top"/>
    </xf>
    <xf numFmtId="9" fontId="11" fillId="0" borderId="0" xfId="4" applyFont="1" applyAlignment="1">
      <alignment vertical="top"/>
    </xf>
    <xf numFmtId="0" fontId="27" fillId="0" borderId="0" xfId="0" applyFont="1">
      <alignment vertical="top"/>
    </xf>
    <xf numFmtId="0" fontId="10" fillId="0" borderId="3" xfId="0" applyFont="1" applyBorder="1" applyAlignment="1">
      <alignment vertical="top" wrapText="1"/>
    </xf>
    <xf numFmtId="0" fontId="10" fillId="0" borderId="10" xfId="8" applyFont="1" applyBorder="1">
      <alignment vertical="top" wrapText="1"/>
    </xf>
    <xf numFmtId="0" fontId="10" fillId="0" borderId="4" xfId="8" applyFont="1" applyBorder="1">
      <alignment vertical="top" wrapText="1"/>
    </xf>
    <xf numFmtId="0" fontId="10" fillId="0" borderId="3" xfId="8" applyFont="1" applyBorder="1">
      <alignment vertical="top" wrapText="1"/>
    </xf>
    <xf numFmtId="166" fontId="10" fillId="0" borderId="1" xfId="0" applyNumberFormat="1" applyFont="1" applyBorder="1">
      <alignment vertical="top"/>
    </xf>
    <xf numFmtId="166" fontId="10" fillId="0" borderId="0" xfId="0" applyNumberFormat="1" applyFont="1" applyBorder="1">
      <alignment vertical="top"/>
    </xf>
    <xf numFmtId="166" fontId="10" fillId="0" borderId="0" xfId="0" quotePrefix="1" applyNumberFormat="1" applyFont="1">
      <alignment vertical="top"/>
    </xf>
    <xf numFmtId="168" fontId="11" fillId="0" borderId="0" xfId="0" quotePrefix="1" applyNumberFormat="1" applyFont="1">
      <alignment vertical="top"/>
    </xf>
    <xf numFmtId="0" fontId="10" fillId="0" borderId="4" xfId="0" applyFont="1" applyBorder="1" applyAlignment="1">
      <alignment vertical="top" wrapText="1"/>
    </xf>
    <xf numFmtId="0" fontId="24" fillId="0" borderId="0" xfId="0" applyFont="1" applyAlignment="1">
      <alignment horizontal="left" vertical="top" wrapText="1" indent="1"/>
    </xf>
    <xf numFmtId="166" fontId="24" fillId="0" borderId="0" xfId="0" applyNumberFormat="1" applyFont="1">
      <alignment vertical="top"/>
    </xf>
    <xf numFmtId="0" fontId="10" fillId="0" borderId="4" xfId="0" applyFont="1" applyBorder="1" applyAlignment="1">
      <alignment vertical="top"/>
    </xf>
    <xf numFmtId="166" fontId="10" fillId="0" borderId="0" xfId="0" applyNumberFormat="1" applyFont="1" applyAlignment="1">
      <alignment vertical="top"/>
    </xf>
    <xf numFmtId="2" fontId="10" fillId="0" borderId="1" xfId="0" applyNumberFormat="1" applyFont="1" applyBorder="1" applyAlignment="1">
      <alignment horizontal="center" vertical="top"/>
    </xf>
    <xf numFmtId="0" fontId="10" fillId="0" borderId="0" xfId="8" applyFont="1">
      <alignment vertical="top" wrapText="1"/>
    </xf>
    <xf numFmtId="166" fontId="10" fillId="0" borderId="9" xfId="0" applyNumberFormat="1" applyFont="1" applyBorder="1">
      <alignment vertical="top"/>
    </xf>
    <xf numFmtId="9" fontId="10" fillId="0" borderId="9" xfId="0" applyNumberFormat="1" applyFont="1" applyBorder="1">
      <alignment vertical="top"/>
    </xf>
    <xf numFmtId="0" fontId="11" fillId="0" borderId="9" xfId="8" applyFont="1" applyBorder="1" applyAlignment="1">
      <alignment horizontal="center" vertical="top" wrapText="1"/>
    </xf>
    <xf numFmtId="166" fontId="10" fillId="0" borderId="0" xfId="0" applyNumberFormat="1" applyFont="1" applyFill="1" applyBorder="1">
      <alignment vertical="top"/>
    </xf>
    <xf numFmtId="0" fontId="10" fillId="0" borderId="0" xfId="8" applyFont="1" applyFill="1" applyBorder="1">
      <alignment vertical="top" wrapText="1"/>
    </xf>
    <xf numFmtId="169" fontId="10" fillId="0" borderId="0" xfId="4" applyNumberFormat="1" applyFont="1" applyBorder="1" applyAlignment="1">
      <alignment vertical="top"/>
    </xf>
    <xf numFmtId="0" fontId="11" fillId="0" borderId="0" xfId="8" applyFont="1">
      <alignment vertical="top" wrapText="1"/>
    </xf>
    <xf numFmtId="1" fontId="11" fillId="0" borderId="0" xfId="0" applyNumberFormat="1" applyFont="1">
      <alignment vertical="top"/>
    </xf>
    <xf numFmtId="0" fontId="26" fillId="0" borderId="0" xfId="7" applyFont="1" applyFill="1">
      <alignment vertical="top"/>
    </xf>
    <xf numFmtId="0" fontId="10" fillId="0" borderId="9" xfId="8" applyFont="1" applyBorder="1">
      <alignment vertical="top" wrapText="1"/>
    </xf>
    <xf numFmtId="0" fontId="10" fillId="0" borderId="0" xfId="8" applyFont="1" applyFill="1">
      <alignment vertical="top" wrapText="1"/>
    </xf>
    <xf numFmtId="10" fontId="10" fillId="0" borderId="9" xfId="8" applyNumberFormat="1" applyFont="1" applyBorder="1">
      <alignment vertical="top" wrapText="1"/>
    </xf>
    <xf numFmtId="168" fontId="10" fillId="0" borderId="9" xfId="0" applyNumberFormat="1" applyFont="1" applyBorder="1">
      <alignment vertical="top"/>
    </xf>
    <xf numFmtId="164" fontId="10" fillId="0" borderId="0" xfId="0" applyNumberFormat="1" applyFont="1">
      <alignment vertical="top"/>
    </xf>
    <xf numFmtId="0" fontId="10" fillId="0" borderId="1" xfId="8" applyFont="1" applyBorder="1">
      <alignment vertical="top" wrapText="1"/>
    </xf>
    <xf numFmtId="10" fontId="10" fillId="0" borderId="8" xfId="4" applyNumberFormat="1" applyFont="1" applyBorder="1" applyAlignment="1">
      <alignment vertical="top"/>
    </xf>
    <xf numFmtId="10" fontId="10" fillId="0" borderId="2" xfId="4" applyNumberFormat="1" applyFont="1" applyBorder="1" applyAlignment="1">
      <alignment vertical="top"/>
    </xf>
    <xf numFmtId="10" fontId="11" fillId="0" borderId="2" xfId="4" applyNumberFormat="1" applyFont="1" applyBorder="1" applyAlignment="1">
      <alignment vertical="top"/>
    </xf>
    <xf numFmtId="0" fontId="10" fillId="0" borderId="0" xfId="8" applyFont="1" applyBorder="1">
      <alignment vertical="top" wrapText="1"/>
    </xf>
    <xf numFmtId="0" fontId="11" fillId="0" borderId="0" xfId="8" applyFont="1" applyFill="1" applyBorder="1">
      <alignment vertical="top" wrapText="1"/>
    </xf>
    <xf numFmtId="10" fontId="28" fillId="0" borderId="0" xfId="0" applyNumberFormat="1" applyFont="1">
      <alignment vertical="top"/>
    </xf>
    <xf numFmtId="180" fontId="10" fillId="0" borderId="0" xfId="0" applyNumberFormat="1" applyFont="1">
      <alignment vertical="top"/>
    </xf>
    <xf numFmtId="180" fontId="11" fillId="0" borderId="0" xfId="0" applyNumberFormat="1" applyFont="1">
      <alignment vertical="top"/>
    </xf>
    <xf numFmtId="3" fontId="10" fillId="0" borderId="0" xfId="0" applyNumberFormat="1" applyFont="1">
      <alignment vertical="top"/>
    </xf>
    <xf numFmtId="3" fontId="11" fillId="0" borderId="0" xfId="0" applyNumberFormat="1" applyFont="1">
      <alignment vertical="top"/>
    </xf>
    <xf numFmtId="169" fontId="10" fillId="0" borderId="0" xfId="0" applyNumberFormat="1" applyFont="1" applyBorder="1">
      <alignment vertical="top"/>
    </xf>
    <xf numFmtId="0" fontId="17" fillId="0" borderId="0" xfId="0" applyFont="1" applyAlignment="1">
      <alignment vertical="top"/>
    </xf>
    <xf numFmtId="0" fontId="14" fillId="0" borderId="0" xfId="0" applyFont="1" applyAlignment="1">
      <alignment vertical="top"/>
    </xf>
    <xf numFmtId="169" fontId="10" fillId="3" borderId="0" xfId="0" applyNumberFormat="1" applyFont="1" applyFill="1">
      <alignment vertical="top"/>
    </xf>
    <xf numFmtId="169" fontId="10" fillId="0" borderId="1" xfId="0" applyNumberFormat="1" applyFont="1" applyBorder="1" applyAlignment="1">
      <alignment horizontal="center" vertical="top"/>
    </xf>
    <xf numFmtId="0" fontId="29" fillId="0" borderId="0" xfId="0" applyFont="1">
      <alignment vertical="top"/>
    </xf>
    <xf numFmtId="0" fontId="30" fillId="0" borderId="0" xfId="0" applyFont="1">
      <alignment vertical="top"/>
    </xf>
    <xf numFmtId="169" fontId="30" fillId="0" borderId="0" xfId="0" applyNumberFormat="1" applyFont="1">
      <alignment vertical="top"/>
    </xf>
    <xf numFmtId="0" fontId="16" fillId="0" borderId="0" xfId="0" applyFont="1">
      <alignment vertical="top"/>
    </xf>
    <xf numFmtId="168" fontId="30" fillId="0" borderId="0" xfId="0" applyNumberFormat="1" applyFont="1">
      <alignment vertical="top"/>
    </xf>
    <xf numFmtId="169" fontId="30" fillId="0" borderId="0" xfId="4" applyNumberFormat="1" applyFont="1" applyAlignment="1">
      <alignment vertical="top"/>
    </xf>
    <xf numFmtId="0" fontId="30" fillId="0" borderId="1" xfId="0" applyFont="1" applyFill="1" applyBorder="1">
      <alignment vertical="top"/>
    </xf>
    <xf numFmtId="10" fontId="30" fillId="0" borderId="1" xfId="0" applyNumberFormat="1" applyFont="1" applyBorder="1">
      <alignment vertical="top"/>
    </xf>
    <xf numFmtId="0" fontId="30" fillId="0" borderId="0" xfId="0" applyFont="1" applyBorder="1">
      <alignment vertical="top"/>
    </xf>
    <xf numFmtId="10" fontId="30" fillId="0" borderId="0" xfId="0" applyNumberFormat="1" applyFont="1" applyBorder="1">
      <alignment vertical="top"/>
    </xf>
    <xf numFmtId="0" fontId="30" fillId="0" borderId="1" xfId="0" applyFont="1" applyBorder="1">
      <alignment vertical="top"/>
    </xf>
    <xf numFmtId="10" fontId="30" fillId="0" borderId="0" xfId="4" applyNumberFormat="1" applyFont="1" applyAlignment="1">
      <alignment vertical="top"/>
    </xf>
    <xf numFmtId="2" fontId="30" fillId="0" borderId="0" xfId="0" applyNumberFormat="1" applyFont="1">
      <alignment vertical="top"/>
    </xf>
    <xf numFmtId="0" fontId="10" fillId="0" borderId="1" xfId="0" applyFont="1" applyBorder="1" applyAlignment="1">
      <alignment horizontal="left" vertical="top" indent="1"/>
    </xf>
    <xf numFmtId="169" fontId="10" fillId="0" borderId="1" xfId="0" applyNumberFormat="1" applyFont="1" applyBorder="1">
      <alignment vertical="top"/>
    </xf>
    <xf numFmtId="0" fontId="30" fillId="0" borderId="0" xfId="0" applyFont="1" applyAlignment="1">
      <alignment horizontal="left" vertical="top" indent="1"/>
    </xf>
    <xf numFmtId="0" fontId="30" fillId="0" borderId="0" xfId="0" applyFont="1" applyAlignment="1">
      <alignment horizontal="center" vertical="top"/>
    </xf>
    <xf numFmtId="0" fontId="30" fillId="0" borderId="0" xfId="0" applyFont="1" applyBorder="1" applyAlignment="1">
      <alignment horizontal="left" vertical="top" indent="1"/>
    </xf>
    <xf numFmtId="168" fontId="30" fillId="0" borderId="0" xfId="0" applyNumberFormat="1" applyFont="1" applyBorder="1">
      <alignment vertical="top"/>
    </xf>
    <xf numFmtId="169" fontId="30" fillId="0" borderId="0" xfId="0" applyNumberFormat="1" applyFont="1" applyBorder="1">
      <alignment vertical="top"/>
    </xf>
    <xf numFmtId="0" fontId="30" fillId="0" borderId="1" xfId="0" applyFont="1" applyBorder="1" applyAlignment="1">
      <alignment horizontal="left" vertical="top" indent="1"/>
    </xf>
    <xf numFmtId="169" fontId="30" fillId="0" borderId="1" xfId="0" applyNumberFormat="1" applyFont="1" applyBorder="1">
      <alignment vertical="top"/>
    </xf>
    <xf numFmtId="1" fontId="10" fillId="0" borderId="1" xfId="0" applyNumberFormat="1" applyFont="1" applyBorder="1">
      <alignment vertical="top"/>
    </xf>
    <xf numFmtId="9" fontId="10" fillId="0" borderId="0" xfId="4" applyFont="1" applyBorder="1" applyAlignment="1">
      <alignment horizontal="center" vertical="top"/>
    </xf>
    <xf numFmtId="168" fontId="31" fillId="0" borderId="0" xfId="1" applyFont="1">
      <alignment vertical="top"/>
    </xf>
    <xf numFmtId="168" fontId="31" fillId="0" borderId="0" xfId="1" applyNumberFormat="1" applyFont="1">
      <alignment vertical="top"/>
    </xf>
    <xf numFmtId="0" fontId="11" fillId="0" borderId="0" xfId="5" applyFont="1">
      <alignment vertical="top"/>
    </xf>
    <xf numFmtId="173" fontId="11" fillId="0" borderId="0" xfId="5" applyNumberFormat="1" applyFont="1">
      <alignment vertical="top"/>
    </xf>
    <xf numFmtId="9" fontId="10" fillId="0" borderId="2" xfId="0" applyNumberFormat="1" applyFont="1" applyBorder="1">
      <alignment vertical="top"/>
    </xf>
    <xf numFmtId="9" fontId="10" fillId="0" borderId="4" xfId="0" applyNumberFormat="1" applyFont="1" applyBorder="1">
      <alignment vertical="top"/>
    </xf>
    <xf numFmtId="0" fontId="11" fillId="0" borderId="4" xfId="5" applyFont="1" applyBorder="1">
      <alignment vertical="top"/>
    </xf>
    <xf numFmtId="10" fontId="10" fillId="0" borderId="2" xfId="0" applyNumberFormat="1" applyFont="1" applyBorder="1">
      <alignment vertical="top"/>
    </xf>
    <xf numFmtId="168" fontId="10" fillId="0" borderId="0" xfId="1" applyNumberFormat="1" applyFont="1">
      <alignment vertical="top"/>
    </xf>
    <xf numFmtId="173" fontId="10" fillId="0" borderId="1" xfId="3" applyNumberFormat="1" applyFont="1" applyBorder="1" applyAlignment="1">
      <alignment vertical="top"/>
    </xf>
    <xf numFmtId="168" fontId="31" fillId="0" borderId="1" xfId="1" applyNumberFormat="1" applyFont="1" applyBorder="1">
      <alignment vertical="top"/>
    </xf>
    <xf numFmtId="173" fontId="10" fillId="0" borderId="0" xfId="0" applyNumberFormat="1" applyFont="1">
      <alignment vertical="top"/>
    </xf>
    <xf numFmtId="0" fontId="11" fillId="0" borderId="0" xfId="5" applyFont="1" applyFill="1">
      <alignment vertical="top"/>
    </xf>
    <xf numFmtId="0" fontId="10" fillId="0" borderId="0" xfId="5" applyFont="1">
      <alignment vertical="top"/>
    </xf>
    <xf numFmtId="173" fontId="10" fillId="0" borderId="0" xfId="0" applyNumberFormat="1" applyFont="1" applyAlignment="1">
      <alignment vertical="top"/>
    </xf>
    <xf numFmtId="173" fontId="10" fillId="0" borderId="1" xfId="0" applyNumberFormat="1" applyFont="1" applyBorder="1" applyAlignment="1">
      <alignment vertical="top"/>
    </xf>
    <xf numFmtId="173" fontId="11" fillId="0" borderId="0" xfId="0" applyNumberFormat="1" applyFont="1">
      <alignment vertical="top"/>
    </xf>
    <xf numFmtId="0" fontId="10" fillId="0" borderId="10" xfId="0" applyFont="1" applyBorder="1">
      <alignment vertical="top"/>
    </xf>
    <xf numFmtId="0" fontId="10" fillId="0" borderId="3" xfId="0" applyFont="1" applyBorder="1" applyAlignment="1">
      <alignment horizontal="center" vertical="top"/>
    </xf>
    <xf numFmtId="169" fontId="10" fillId="0" borderId="0" xfId="0" applyNumberFormat="1" applyFont="1" applyAlignment="1">
      <alignment vertical="top"/>
    </xf>
    <xf numFmtId="0" fontId="10" fillId="0" borderId="0" xfId="8" applyFont="1" applyAlignment="1">
      <alignment horizontal="center" vertical="top" wrapText="1"/>
    </xf>
    <xf numFmtId="177" fontId="10" fillId="0" borderId="0" xfId="0" applyNumberFormat="1" applyFont="1" applyAlignment="1">
      <alignment vertical="top" wrapText="1"/>
    </xf>
    <xf numFmtId="179" fontId="10" fillId="0" borderId="0" xfId="0" applyNumberFormat="1" applyFont="1" applyAlignment="1">
      <alignment vertical="top" wrapText="1"/>
    </xf>
    <xf numFmtId="169" fontId="10" fillId="0" borderId="0" xfId="4" applyNumberFormat="1" applyFont="1" applyAlignment="1">
      <alignment vertical="top" wrapText="1"/>
    </xf>
    <xf numFmtId="169" fontId="11" fillId="0" borderId="0" xfId="0" applyNumberFormat="1" applyFont="1" applyAlignment="1">
      <alignment vertical="top"/>
    </xf>
    <xf numFmtId="171" fontId="11" fillId="0" borderId="0" xfId="0" applyNumberFormat="1" applyFont="1" applyAlignment="1">
      <alignment vertical="top"/>
    </xf>
    <xf numFmtId="175" fontId="11" fillId="0" borderId="0" xfId="4" applyNumberFormat="1" applyFont="1" applyAlignment="1">
      <alignment vertical="top"/>
    </xf>
    <xf numFmtId="176" fontId="10" fillId="0" borderId="0" xfId="4" applyNumberFormat="1" applyFont="1" applyAlignment="1">
      <alignment vertical="top"/>
    </xf>
    <xf numFmtId="9" fontId="11" fillId="0" borderId="0" xfId="0" applyNumberFormat="1" applyFont="1">
      <alignment vertical="top"/>
    </xf>
    <xf numFmtId="0" fontId="10" fillId="0" borderId="0" xfId="6" applyFont="1" applyAlignment="1">
      <alignment vertical="top" wrapText="1"/>
    </xf>
    <xf numFmtId="0" fontId="0" fillId="0" borderId="0" xfId="8" applyFont="1" applyBorder="1">
      <alignment vertical="top" wrapText="1"/>
    </xf>
    <xf numFmtId="9" fontId="0" fillId="0" borderId="0" xfId="0" applyNumberFormat="1" applyBorder="1">
      <alignment vertical="top"/>
    </xf>
    <xf numFmtId="0" fontId="5" fillId="0" borderId="0" xfId="8" applyBorder="1">
      <alignment vertical="top" wrapText="1"/>
    </xf>
    <xf numFmtId="0" fontId="2" fillId="0" borderId="0" xfId="8" applyFont="1" applyBorder="1">
      <alignment vertical="top" wrapText="1"/>
    </xf>
    <xf numFmtId="3" fontId="0" fillId="0" borderId="0" xfId="0" applyNumberFormat="1" applyBorder="1">
      <alignment vertical="top"/>
    </xf>
    <xf numFmtId="9" fontId="0" fillId="0" borderId="0" xfId="10" applyNumberFormat="1" applyFont="1" applyFill="1" applyBorder="1" applyAlignment="1">
      <alignment vertical="top"/>
    </xf>
    <xf numFmtId="9" fontId="0" fillId="0" borderId="0" xfId="10" applyFont="1" applyBorder="1" applyAlignment="1">
      <alignment vertical="top"/>
    </xf>
    <xf numFmtId="169" fontId="0" fillId="0" borderId="0" xfId="10" applyNumberFormat="1" applyFont="1" applyAlignment="1">
      <alignment vertical="top"/>
    </xf>
    <xf numFmtId="171" fontId="10" fillId="0" borderId="0" xfId="0" applyNumberFormat="1" applyFont="1">
      <alignment vertical="top"/>
    </xf>
    <xf numFmtId="0" fontId="11" fillId="0" borderId="0" xfId="0" applyFont="1" applyAlignment="1">
      <alignment horizontal="center" vertical="top" wrapText="1"/>
    </xf>
    <xf numFmtId="9" fontId="10" fillId="0" borderId="0" xfId="4" quotePrefix="1" applyFont="1" applyAlignment="1">
      <alignment horizontal="center" vertical="top"/>
    </xf>
    <xf numFmtId="173" fontId="10" fillId="0" borderId="0" xfId="3" applyNumberFormat="1" applyFont="1" applyAlignment="1">
      <alignment horizontal="right" vertical="top"/>
    </xf>
    <xf numFmtId="1" fontId="10" fillId="0" borderId="1" xfId="0" applyNumberFormat="1" applyFont="1" applyBorder="1" applyAlignment="1">
      <alignment horizontal="center" vertical="top"/>
    </xf>
    <xf numFmtId="1" fontId="10" fillId="0" borderId="0" xfId="0" applyNumberFormat="1" applyFont="1" applyAlignment="1">
      <alignment horizontal="center" vertical="top"/>
    </xf>
    <xf numFmtId="2" fontId="10" fillId="0" borderId="0" xfId="0" applyNumberFormat="1" applyFont="1" applyAlignment="1">
      <alignment horizontal="center" vertical="top"/>
    </xf>
    <xf numFmtId="0" fontId="10" fillId="0" borderId="9" xfId="0" applyFont="1" applyBorder="1">
      <alignment vertical="top"/>
    </xf>
    <xf numFmtId="1" fontId="11" fillId="0" borderId="9" xfId="0" applyNumberFormat="1" applyFont="1" applyBorder="1">
      <alignment vertical="top"/>
    </xf>
    <xf numFmtId="0" fontId="11" fillId="0" borderId="9" xfId="0" applyFont="1" applyBorder="1">
      <alignment vertical="top"/>
    </xf>
    <xf numFmtId="165" fontId="11" fillId="0" borderId="9" xfId="0" applyNumberFormat="1" applyFont="1" applyBorder="1">
      <alignment vertical="top"/>
    </xf>
    <xf numFmtId="0" fontId="10" fillId="0" borderId="0" xfId="0" applyFont="1" applyAlignment="1">
      <alignment horizontal="justify" vertical="top" wrapText="1"/>
    </xf>
    <xf numFmtId="171" fontId="11" fillId="0" borderId="0" xfId="0" applyNumberFormat="1" applyFont="1">
      <alignment vertical="top"/>
    </xf>
    <xf numFmtId="174" fontId="10" fillId="0" borderId="0" xfId="4" applyNumberFormat="1" applyFont="1" applyAlignment="1">
      <alignment horizontal="right" vertical="top"/>
    </xf>
    <xf numFmtId="174" fontId="30" fillId="0" borderId="0" xfId="4" applyNumberFormat="1" applyFont="1" applyAlignment="1">
      <alignment vertical="top"/>
    </xf>
    <xf numFmtId="177" fontId="11" fillId="0" borderId="0" xfId="0" applyNumberFormat="1" applyFont="1" applyAlignment="1">
      <alignment vertical="top" wrapText="1"/>
    </xf>
    <xf numFmtId="0" fontId="10" fillId="0" borderId="11" xfId="0" applyFont="1" applyBorder="1" applyAlignment="1">
      <alignment vertical="top" wrapText="1"/>
    </xf>
    <xf numFmtId="177" fontId="10" fillId="0" borderId="11" xfId="0" applyNumberFormat="1" applyFont="1" applyBorder="1" applyAlignment="1">
      <alignment vertical="top" wrapText="1"/>
    </xf>
    <xf numFmtId="174" fontId="10" fillId="0" borderId="11" xfId="4" applyNumberFormat="1" applyFont="1" applyBorder="1" applyAlignment="1">
      <alignment vertical="top"/>
    </xf>
    <xf numFmtId="0" fontId="10" fillId="0" borderId="11" xfId="0" applyFont="1" applyBorder="1">
      <alignment vertical="top"/>
    </xf>
    <xf numFmtId="177" fontId="10" fillId="0" borderId="1" xfId="0" applyNumberFormat="1" applyFont="1" applyBorder="1" applyAlignment="1">
      <alignment vertical="top" wrapText="1"/>
    </xf>
    <xf numFmtId="174" fontId="10" fillId="0" borderId="1" xfId="4" applyNumberFormat="1" applyFont="1" applyBorder="1" applyAlignment="1">
      <alignment vertical="top"/>
    </xf>
    <xf numFmtId="10" fontId="10" fillId="0" borderId="11" xfId="0" applyNumberFormat="1" applyFont="1" applyBorder="1">
      <alignment vertical="top"/>
    </xf>
    <xf numFmtId="0" fontId="0" fillId="0" borderId="0" xfId="0" applyFont="1" applyAlignment="1"/>
    <xf numFmtId="0" fontId="0" fillId="0" borderId="0" xfId="0" applyAlignment="1"/>
    <xf numFmtId="185" fontId="0" fillId="0" borderId="0" xfId="0" applyNumberFormat="1" applyAlignment="1"/>
    <xf numFmtId="3" fontId="0" fillId="0" borderId="0" xfId="0" applyNumberFormat="1" applyAlignment="1"/>
    <xf numFmtId="9" fontId="0" fillId="0" borderId="0" xfId="0" applyNumberFormat="1" applyAlignment="1"/>
    <xf numFmtId="169" fontId="0" fillId="0" borderId="0" xfId="4" applyNumberFormat="1" applyFont="1"/>
    <xf numFmtId="186" fontId="32" fillId="0" borderId="0" xfId="0" applyNumberFormat="1" applyFont="1" applyBorder="1" applyAlignment="1"/>
    <xf numFmtId="186" fontId="32" fillId="0" borderId="2" xfId="0" applyNumberFormat="1" applyFont="1" applyBorder="1" applyAlignment="1"/>
    <xf numFmtId="186" fontId="0" fillId="0" borderId="0" xfId="0" applyNumberFormat="1" applyBorder="1" applyAlignment="1"/>
    <xf numFmtId="186" fontId="0" fillId="0" borderId="2" xfId="0" applyNumberFormat="1" applyBorder="1" applyAlignment="1"/>
    <xf numFmtId="186" fontId="0" fillId="0" borderId="11" xfId="0" applyNumberFormat="1" applyBorder="1" applyAlignment="1"/>
    <xf numFmtId="186" fontId="0" fillId="0" borderId="8" xfId="0" applyNumberFormat="1" applyBorder="1" applyAlignment="1"/>
    <xf numFmtId="0" fontId="0" fillId="0" borderId="0" xfId="0" applyAlignment="1">
      <alignment horizontal="right"/>
    </xf>
    <xf numFmtId="9" fontId="0" fillId="0" borderId="0" xfId="4" applyFont="1"/>
    <xf numFmtId="185" fontId="0" fillId="0" borderId="0" xfId="0" applyNumberFormat="1" applyFont="1" applyAlignment="1"/>
    <xf numFmtId="9" fontId="0" fillId="0" borderId="0" xfId="0" applyNumberFormat="1" applyFont="1" applyAlignment="1"/>
    <xf numFmtId="186" fontId="0" fillId="0" borderId="0" xfId="0" applyNumberFormat="1" applyFont="1" applyAlignment="1"/>
    <xf numFmtId="3" fontId="0" fillId="0" borderId="0" xfId="0" applyNumberFormat="1" applyFont="1" applyAlignment="1"/>
    <xf numFmtId="186" fontId="2" fillId="0" borderId="0" xfId="0" applyNumberFormat="1" applyFont="1" applyBorder="1" applyAlignment="1"/>
    <xf numFmtId="186" fontId="2" fillId="0" borderId="2" xfId="0" applyNumberFormat="1" applyFont="1" applyBorder="1" applyAlignment="1"/>
    <xf numFmtId="0" fontId="2" fillId="0" borderId="0" xfId="0" applyFont="1" applyAlignment="1">
      <alignment wrapText="1"/>
    </xf>
    <xf numFmtId="0" fontId="2" fillId="0" borderId="0" xfId="0" applyFont="1" applyAlignment="1"/>
    <xf numFmtId="186" fontId="0" fillId="0" borderId="0" xfId="0" applyNumberFormat="1" applyFont="1" applyBorder="1" applyAlignment="1"/>
    <xf numFmtId="186" fontId="0" fillId="0" borderId="2" xfId="0" applyNumberFormat="1" applyFont="1" applyBorder="1" applyAlignment="1"/>
    <xf numFmtId="186" fontId="0" fillId="0" borderId="11" xfId="0" applyNumberFormat="1" applyFont="1" applyBorder="1" applyAlignment="1"/>
    <xf numFmtId="186" fontId="0" fillId="0" borderId="8" xfId="0" applyNumberFormat="1" applyFont="1" applyBorder="1" applyAlignment="1"/>
    <xf numFmtId="0" fontId="0" fillId="0" borderId="0" xfId="0" applyFont="1" applyAlignment="1">
      <alignment horizontal="right"/>
    </xf>
    <xf numFmtId="0" fontId="0" fillId="0" borderId="0" xfId="0" applyFont="1" applyFill="1" applyBorder="1" applyAlignment="1"/>
    <xf numFmtId="0" fontId="34" fillId="0" borderId="0" xfId="0" applyFont="1" applyAlignment="1">
      <alignment horizontal="left"/>
    </xf>
    <xf numFmtId="165" fontId="10" fillId="0" borderId="0" xfId="0" applyNumberFormat="1" applyFont="1" applyBorder="1" applyAlignment="1">
      <alignment horizontal="center" vertical="center"/>
    </xf>
    <xf numFmtId="9" fontId="18" fillId="0" borderId="0" xfId="4" applyFont="1" applyFill="1" applyAlignment="1">
      <alignment horizontal="center" vertical="top"/>
    </xf>
    <xf numFmtId="168" fontId="10" fillId="0" borderId="0" xfId="3" applyNumberFormat="1" applyFont="1" applyAlignment="1">
      <alignment horizontal="right" vertical="top"/>
    </xf>
    <xf numFmtId="0" fontId="11" fillId="0" borderId="0" xfId="0" applyFont="1" applyAlignment="1">
      <alignment horizontal="center"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166" fontId="10" fillId="0" borderId="0" xfId="0" applyNumberFormat="1" applyFont="1" applyBorder="1" applyAlignment="1">
      <alignment horizontal="center" vertical="top"/>
    </xf>
    <xf numFmtId="166" fontId="10" fillId="0" borderId="4" xfId="0" applyNumberFormat="1" applyFont="1" applyBorder="1" applyAlignment="1">
      <alignment horizontal="center" vertical="top"/>
    </xf>
    <xf numFmtId="9" fontId="10" fillId="0" borderId="0" xfId="0" applyNumberFormat="1" applyFont="1" applyAlignment="1">
      <alignment horizontal="center" vertical="top"/>
    </xf>
    <xf numFmtId="0" fontId="10" fillId="0" borderId="0" xfId="0" applyFont="1" applyAlignment="1">
      <alignment horizontal="center" vertical="top"/>
    </xf>
    <xf numFmtId="169" fontId="10" fillId="0" borderId="0" xfId="0" applyNumberFormat="1" applyFont="1" applyAlignment="1">
      <alignment horizontal="center" vertical="top"/>
    </xf>
    <xf numFmtId="0" fontId="11" fillId="0" borderId="2" xfId="0" applyFont="1" applyBorder="1" applyAlignment="1">
      <alignment horizontal="center" vertical="top"/>
    </xf>
    <xf numFmtId="0" fontId="11" fillId="0" borderId="4" xfId="0" applyFont="1" applyBorder="1" applyAlignment="1">
      <alignment horizontal="center" vertical="top"/>
    </xf>
    <xf numFmtId="177" fontId="10" fillId="0" borderId="8"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77" fontId="11" fillId="0" borderId="5" xfId="0" applyNumberFormat="1" applyFont="1" applyBorder="1" applyAlignment="1">
      <alignment horizontal="center" vertical="center" wrapText="1"/>
    </xf>
    <xf numFmtId="0" fontId="34" fillId="0" borderId="0" xfId="0" applyFont="1" applyAlignment="1">
      <alignment horizontal="left"/>
    </xf>
    <xf numFmtId="0" fontId="33" fillId="0" borderId="0" xfId="0" applyFont="1" applyAlignment="1">
      <alignment horizontal="center"/>
    </xf>
  </cellXfs>
  <cellStyles count="11">
    <cellStyle name="Données" xfId="1" xr:uid="{00000000-0005-0000-0000-000000000000}"/>
    <cellStyle name="Input" xfId="2" xr:uid="{00000000-0005-0000-0000-000001000000}"/>
    <cellStyle name="Milliers" xfId="3" builtinId="3"/>
    <cellStyle name="Milliers 2" xfId="9" xr:uid="{00000000-0005-0000-0000-000003000000}"/>
    <cellStyle name="Normal" xfId="0" builtinId="0"/>
    <cellStyle name="Pourcentage" xfId="4" builtinId="5"/>
    <cellStyle name="Pourcentage 2" xfId="10" xr:uid="{00000000-0005-0000-0000-000006000000}"/>
    <cellStyle name="Résultat" xfId="5" xr:uid="{00000000-0005-0000-0000-000007000000}"/>
    <cellStyle name="Titre 1" xfId="6" xr:uid="{00000000-0005-0000-0000-000008000000}"/>
    <cellStyle name="Titre 2" xfId="7" xr:uid="{00000000-0005-0000-0000-000009000000}"/>
    <cellStyle name="TitreLigne"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NPV depending on the discount rate</a:t>
            </a:r>
          </a:p>
        </c:rich>
      </c:tx>
      <c:layout>
        <c:manualLayout>
          <c:xMode val="edge"/>
          <c:yMode val="edge"/>
          <c:x val="0.37027379400260801"/>
          <c:y val="3.7313290384156497E-2"/>
        </c:manualLayout>
      </c:layout>
      <c:overlay val="0"/>
      <c:spPr>
        <a:noFill/>
        <a:ln w="25400">
          <a:noFill/>
        </a:ln>
      </c:spPr>
    </c:title>
    <c:autoTitleDeleted val="0"/>
    <c:plotArea>
      <c:layout>
        <c:manualLayout>
          <c:layoutTarget val="inner"/>
          <c:xMode val="edge"/>
          <c:yMode val="edge"/>
          <c:x val="7.1707953063885305E-2"/>
          <c:y val="0.167910753685346"/>
          <c:w val="0.89830508474576298"/>
          <c:h val="0.68656841506897004"/>
        </c:manualLayout>
      </c:layout>
      <c:scatterChart>
        <c:scatterStyle val="smoothMarker"/>
        <c:varyColors val="0"/>
        <c:ser>
          <c:idx val="0"/>
          <c:order val="0"/>
          <c:tx>
            <c:v>VAN</c:v>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16'!$A$101:$A$105</c:f>
              <c:numCache>
                <c:formatCode>0%</c:formatCode>
                <c:ptCount val="5"/>
                <c:pt idx="0">
                  <c:v>0.05</c:v>
                </c:pt>
                <c:pt idx="1">
                  <c:v>0.1</c:v>
                </c:pt>
                <c:pt idx="2">
                  <c:v>0.15</c:v>
                </c:pt>
                <c:pt idx="3">
                  <c:v>0.2</c:v>
                </c:pt>
                <c:pt idx="4">
                  <c:v>0.25</c:v>
                </c:pt>
              </c:numCache>
            </c:numRef>
          </c:xVal>
          <c:yVal>
            <c:numRef>
              <c:f>' Chapter 16'!$B$101:$B$105</c:f>
              <c:numCache>
                <c:formatCode>0</c:formatCode>
                <c:ptCount val="5"/>
                <c:pt idx="0">
                  <c:v>401.8430011892458</c:v>
                </c:pt>
                <c:pt idx="1">
                  <c:v>240.2360308225343</c:v>
                </c:pt>
                <c:pt idx="2">
                  <c:v>108.6465294034208</c:v>
                </c:pt>
                <c:pt idx="3">
                  <c:v>0.18364197530866022</c:v>
                </c:pt>
                <c:pt idx="4">
                  <c:v>-90.216000000000008</c:v>
                </c:pt>
              </c:numCache>
            </c:numRef>
          </c:yVal>
          <c:smooth val="1"/>
          <c:extLst>
            <c:ext xmlns:c16="http://schemas.microsoft.com/office/drawing/2014/chart" uri="{C3380CC4-5D6E-409C-BE32-E72D297353CC}">
              <c16:uniqueId val="{00000000-CD93-454F-A8A5-E4B12D5C1542}"/>
            </c:ext>
          </c:extLst>
        </c:ser>
        <c:dLbls>
          <c:showLegendKey val="0"/>
          <c:showVal val="0"/>
          <c:showCatName val="0"/>
          <c:showSerName val="0"/>
          <c:showPercent val="0"/>
          <c:showBubbleSize val="0"/>
        </c:dLbls>
        <c:axId val="-2135275816"/>
        <c:axId val="-2136689960"/>
      </c:scatterChart>
      <c:valAx>
        <c:axId val="-213527581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fr-FR"/>
                  <a:t>Rate</a:t>
                </a:r>
              </a:p>
            </c:rich>
          </c:tx>
          <c:layout>
            <c:manualLayout>
              <c:xMode val="edge"/>
              <c:yMode val="edge"/>
              <c:x val="0.49674054758800501"/>
              <c:y val="0.8389898989898989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6689960"/>
        <c:crosses val="autoZero"/>
        <c:crossBetween val="midCat"/>
      </c:valAx>
      <c:valAx>
        <c:axId val="-2136689960"/>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fr-FR"/>
                  <a:t>NPV</a:t>
                </a:r>
              </a:p>
            </c:rich>
          </c:tx>
          <c:layout>
            <c:manualLayout>
              <c:xMode val="edge"/>
              <c:yMode val="edge"/>
              <c:x val="6.51890482398957E-3"/>
              <c:y val="0.447761870675257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5275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19'!#REF!</c:f>
              <c:numCache>
                <c:formatCode>General</c:formatCode>
                <c:ptCount val="1"/>
                <c:pt idx="0">
                  <c:v>1</c:v>
                </c:pt>
              </c:numCache>
            </c:numRef>
          </c:xVal>
          <c:yVal>
            <c:numRef>
              <c:f>'Chapter 19'!#REF!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'Chapter 19'!#REF!</c15:sqref>
                        </c15:formulaRef>
                      </c:ext>
                    </c:extLst>
                    <c:strCache>
                      <c:ptCount val="1"/>
                      <c:pt idx="0">
                        <c:v>#REF!</c:v>
                      </c:pt>
                    </c:strCache>
                  </c:strRef>
                </c15:tx>
              </c15:filteredSeriesTitle>
            </c:ext>
            <c:ext xmlns:c16="http://schemas.microsoft.com/office/drawing/2014/chart" uri="{C3380CC4-5D6E-409C-BE32-E72D297353CC}">
              <c16:uniqueId val="{00000000-AE7E-4315-9D41-2C6D423402E3}"/>
            </c:ext>
          </c:extLst>
        </c:ser>
        <c:dLbls>
          <c:showLegendKey val="0"/>
          <c:showVal val="0"/>
          <c:showCatName val="0"/>
          <c:showSerName val="0"/>
          <c:showPercent val="0"/>
          <c:showBubbleSize val="0"/>
        </c:dLbls>
        <c:axId val="-2138827400"/>
        <c:axId val="-2137799384"/>
      </c:scatterChart>
      <c:valAx>
        <c:axId val="-2138827400"/>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799384"/>
        <c:crosses val="autoZero"/>
        <c:crossBetween val="midCat"/>
      </c:valAx>
      <c:valAx>
        <c:axId val="-2137799384"/>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88274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22 '!#REF!</c:f>
              <c:numCache>
                <c:formatCode>General</c:formatCode>
                <c:ptCount val="1"/>
                <c:pt idx="0">
                  <c:v>0</c:v>
                </c:pt>
              </c:numCache>
            </c:numRef>
          </c:xVal>
          <c:yVal>
            <c:numRef>
              <c:f>'Chapter 22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22 '!#REF!</c15:sqref>
                        </c15:formulaRef>
                      </c:ext>
                    </c:extLst>
                    <c:strCache>
                      <c:ptCount val="1"/>
                      <c:pt idx="0">
                        <c:v>#REF!</c:v>
                      </c:pt>
                    </c:strCache>
                  </c:strRef>
                </c15:tx>
              </c15:filteredSeriesTitle>
            </c:ext>
            <c:ext xmlns:c16="http://schemas.microsoft.com/office/drawing/2014/chart" uri="{C3380CC4-5D6E-409C-BE32-E72D297353CC}">
              <c16:uniqueId val="{00000000-0E4E-4212-B2E7-38415D0F2CC9}"/>
            </c:ext>
          </c:extLst>
        </c:ser>
        <c:dLbls>
          <c:showLegendKey val="0"/>
          <c:showVal val="0"/>
          <c:showCatName val="0"/>
          <c:showSerName val="0"/>
          <c:showPercent val="0"/>
          <c:showBubbleSize val="0"/>
        </c:dLbls>
        <c:axId val="-2137276600"/>
        <c:axId val="-2137273624"/>
      </c:scatterChart>
      <c:valAx>
        <c:axId val="-2137276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273624"/>
        <c:crosses val="autoZero"/>
        <c:crossBetween val="midCat"/>
      </c:valAx>
      <c:valAx>
        <c:axId val="-2137273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2766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22 '!#REF!</c:f>
              <c:numCache>
                <c:formatCode>General</c:formatCode>
                <c:ptCount val="1"/>
                <c:pt idx="0">
                  <c:v>0</c:v>
                </c:pt>
              </c:numCache>
            </c:numRef>
          </c:xVal>
          <c:yVal>
            <c:numRef>
              <c:f>'Chapter 22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22 '!#REF!</c15:sqref>
                        </c15:formulaRef>
                      </c:ext>
                    </c:extLst>
                    <c:strCache>
                      <c:ptCount val="1"/>
                      <c:pt idx="0">
                        <c:v>#REF!</c:v>
                      </c:pt>
                    </c:strCache>
                  </c:strRef>
                </c15:tx>
              </c15:filteredSeriesTitle>
            </c:ext>
            <c:ext xmlns:c16="http://schemas.microsoft.com/office/drawing/2014/chart" uri="{C3380CC4-5D6E-409C-BE32-E72D297353CC}">
              <c16:uniqueId val="{00000000-C4DA-46B5-B500-6643600A4E2E}"/>
            </c:ext>
          </c:extLst>
        </c:ser>
        <c:dLbls>
          <c:showLegendKey val="0"/>
          <c:showVal val="0"/>
          <c:showCatName val="0"/>
          <c:showSerName val="0"/>
          <c:showPercent val="0"/>
          <c:showBubbleSize val="0"/>
        </c:dLbls>
        <c:axId val="-2137698552"/>
        <c:axId val="-2139026520"/>
      </c:scatterChart>
      <c:valAx>
        <c:axId val="-2137698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9026520"/>
        <c:crosses val="autoZero"/>
        <c:crossBetween val="midCat"/>
      </c:valAx>
      <c:valAx>
        <c:axId val="-2139026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698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24'!#REF!</c:f>
              <c:numCache>
                <c:formatCode>General</c:formatCode>
                <c:ptCount val="1"/>
                <c:pt idx="0">
                  <c:v>0</c:v>
                </c:pt>
              </c:numCache>
            </c:numRef>
          </c:xVal>
          <c:yVal>
            <c:numRef>
              <c:f>'Chapter 24'!#REF!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24'!#REF!</c15:sqref>
                        </c15:formulaRef>
                      </c:ext>
                    </c:extLst>
                    <c:strCache>
                      <c:ptCount val="1"/>
                      <c:pt idx="0">
                        <c:v>#REF!</c:v>
                      </c:pt>
                    </c:strCache>
                  </c:strRef>
                </c15:tx>
              </c15:filteredSeriesTitle>
            </c:ext>
            <c:ext xmlns:c16="http://schemas.microsoft.com/office/drawing/2014/chart" uri="{C3380CC4-5D6E-409C-BE32-E72D297353CC}">
              <c16:uniqueId val="{00000000-BE91-4CB5-ACA8-694DEFA1280F}"/>
            </c:ext>
          </c:extLst>
        </c:ser>
        <c:dLbls>
          <c:showLegendKey val="0"/>
          <c:showVal val="0"/>
          <c:showCatName val="0"/>
          <c:showSerName val="0"/>
          <c:showPercent val="0"/>
          <c:showBubbleSize val="0"/>
        </c:dLbls>
        <c:axId val="-2135968008"/>
        <c:axId val="-2136406552"/>
      </c:scatterChart>
      <c:valAx>
        <c:axId val="-2135968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406552"/>
        <c:crosses val="autoZero"/>
        <c:crossBetween val="midCat"/>
      </c:valAx>
      <c:valAx>
        <c:axId val="-21364065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9680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24'!#REF!</c:f>
              <c:numCache>
                <c:formatCode>General</c:formatCode>
                <c:ptCount val="1"/>
                <c:pt idx="0">
                  <c:v>0</c:v>
                </c:pt>
              </c:numCache>
            </c:numRef>
          </c:xVal>
          <c:yVal>
            <c:numRef>
              <c:f>'Chapter 24'!#REF!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24'!#REF!</c15:sqref>
                        </c15:formulaRef>
                      </c:ext>
                    </c:extLst>
                    <c:strCache>
                      <c:ptCount val="1"/>
                      <c:pt idx="0">
                        <c:v>#REF!</c:v>
                      </c:pt>
                    </c:strCache>
                  </c:strRef>
                </c15:tx>
              </c15:filteredSeriesTitle>
            </c:ext>
            <c:ext xmlns:c16="http://schemas.microsoft.com/office/drawing/2014/chart" uri="{C3380CC4-5D6E-409C-BE32-E72D297353CC}">
              <c16:uniqueId val="{00000000-42A6-4FB6-A64E-06A580061E66}"/>
            </c:ext>
          </c:extLst>
        </c:ser>
        <c:dLbls>
          <c:showLegendKey val="0"/>
          <c:showVal val="0"/>
          <c:showCatName val="0"/>
          <c:showSerName val="0"/>
          <c:showPercent val="0"/>
          <c:showBubbleSize val="0"/>
        </c:dLbls>
        <c:axId val="-2136749256"/>
        <c:axId val="-2136752360"/>
      </c:scatterChart>
      <c:valAx>
        <c:axId val="-2136749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752360"/>
        <c:crosses val="autoZero"/>
        <c:crossBetween val="midCat"/>
      </c:valAx>
      <c:valAx>
        <c:axId val="-2136752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7492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26 '!#REF!</c:f>
              <c:numCache>
                <c:formatCode>General</c:formatCode>
                <c:ptCount val="1"/>
                <c:pt idx="0">
                  <c:v>1</c:v>
                </c:pt>
              </c:numCache>
            </c:numRef>
          </c:xVal>
          <c:yVal>
            <c:numRef>
              <c:f>' Chapter 26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26 '!#REF!</c15:sqref>
                        </c15:formulaRef>
                      </c:ext>
                    </c:extLst>
                    <c:strCache>
                      <c:ptCount val="1"/>
                      <c:pt idx="0">
                        <c:v>#REF!</c:v>
                      </c:pt>
                    </c:strCache>
                  </c:strRef>
                </c15:tx>
              </c15:filteredSeriesTitle>
            </c:ext>
            <c:ext xmlns:c16="http://schemas.microsoft.com/office/drawing/2014/chart" uri="{C3380CC4-5D6E-409C-BE32-E72D297353CC}">
              <c16:uniqueId val="{00000000-855E-432A-9907-929E99705F85}"/>
            </c:ext>
          </c:extLst>
        </c:ser>
        <c:dLbls>
          <c:showLegendKey val="0"/>
          <c:showVal val="0"/>
          <c:showCatName val="0"/>
          <c:showSerName val="0"/>
          <c:showPercent val="0"/>
          <c:showBubbleSize val="0"/>
        </c:dLbls>
        <c:axId val="-2137967128"/>
        <c:axId val="-2137970232"/>
      </c:scatterChart>
      <c:valAx>
        <c:axId val="-213796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970232"/>
        <c:crosses val="autoZero"/>
        <c:crossBetween val="midCat"/>
      </c:valAx>
      <c:valAx>
        <c:axId val="-21379702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967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26 '!#REF!</c:f>
              <c:numCache>
                <c:formatCode>General</c:formatCode>
                <c:ptCount val="1"/>
                <c:pt idx="0">
                  <c:v>1</c:v>
                </c:pt>
              </c:numCache>
            </c:numRef>
          </c:xVal>
          <c:yVal>
            <c:numRef>
              <c:f>' Chapter 26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26 '!#REF!</c15:sqref>
                        </c15:formulaRef>
                      </c:ext>
                    </c:extLst>
                    <c:strCache>
                      <c:ptCount val="1"/>
                      <c:pt idx="0">
                        <c:v>#REF!</c:v>
                      </c:pt>
                    </c:strCache>
                  </c:strRef>
                </c15:tx>
              </c15:filteredSeriesTitle>
            </c:ext>
            <c:ext xmlns:c16="http://schemas.microsoft.com/office/drawing/2014/chart" uri="{C3380CC4-5D6E-409C-BE32-E72D297353CC}">
              <c16:uniqueId val="{00000000-8117-4B46-94E9-61AA05BE4525}"/>
            </c:ext>
          </c:extLst>
        </c:ser>
        <c:dLbls>
          <c:showLegendKey val="0"/>
          <c:showVal val="0"/>
          <c:showCatName val="0"/>
          <c:showSerName val="0"/>
          <c:showPercent val="0"/>
          <c:showBubbleSize val="0"/>
        </c:dLbls>
        <c:axId val="-2138002072"/>
        <c:axId val="-2138005176"/>
      </c:scatterChart>
      <c:valAx>
        <c:axId val="-2138002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8005176"/>
        <c:crosses val="autoZero"/>
        <c:crossBetween val="midCat"/>
      </c:valAx>
      <c:valAx>
        <c:axId val="-2138005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80020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27 '!#REF!</c:f>
              <c:numCache>
                <c:formatCode>General</c:formatCode>
                <c:ptCount val="1"/>
                <c:pt idx="0">
                  <c:v>1</c:v>
                </c:pt>
              </c:numCache>
            </c:numRef>
          </c:xVal>
          <c:yVal>
            <c:numRef>
              <c:f>' Chapter 27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27 '!#REF!</c15:sqref>
                        </c15:formulaRef>
                      </c:ext>
                    </c:extLst>
                    <c:strCache>
                      <c:ptCount val="1"/>
                      <c:pt idx="0">
                        <c:v>#REF!</c:v>
                      </c:pt>
                    </c:strCache>
                  </c:strRef>
                </c15:tx>
              </c15:filteredSeriesTitle>
            </c:ext>
            <c:ext xmlns:c16="http://schemas.microsoft.com/office/drawing/2014/chart" uri="{C3380CC4-5D6E-409C-BE32-E72D297353CC}">
              <c16:uniqueId val="{00000000-A560-46E4-A76C-2B20D6CB6CA0}"/>
            </c:ext>
          </c:extLst>
        </c:ser>
        <c:dLbls>
          <c:showLegendKey val="0"/>
          <c:showVal val="0"/>
          <c:showCatName val="0"/>
          <c:showSerName val="0"/>
          <c:showPercent val="0"/>
          <c:showBubbleSize val="0"/>
        </c:dLbls>
        <c:axId val="-2134332712"/>
        <c:axId val="-2134329688"/>
      </c:scatterChart>
      <c:valAx>
        <c:axId val="-2134332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329688"/>
        <c:crosses val="autoZero"/>
        <c:crossBetween val="midCat"/>
      </c:valAx>
      <c:valAx>
        <c:axId val="-2134329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332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27 '!#REF!</c:f>
              <c:numCache>
                <c:formatCode>General</c:formatCode>
                <c:ptCount val="1"/>
                <c:pt idx="0">
                  <c:v>1</c:v>
                </c:pt>
              </c:numCache>
            </c:numRef>
          </c:xVal>
          <c:yVal>
            <c:numRef>
              <c:f>' Chapter 27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27 '!#REF!</c15:sqref>
                        </c15:formulaRef>
                      </c:ext>
                    </c:extLst>
                    <c:strCache>
                      <c:ptCount val="1"/>
                      <c:pt idx="0">
                        <c:v>#REF!</c:v>
                      </c:pt>
                    </c:strCache>
                  </c:strRef>
                </c15:tx>
              </c15:filteredSeriesTitle>
            </c:ext>
            <c:ext xmlns:c16="http://schemas.microsoft.com/office/drawing/2014/chart" uri="{C3380CC4-5D6E-409C-BE32-E72D297353CC}">
              <c16:uniqueId val="{00000000-5250-47AA-9703-5260E16716FF}"/>
            </c:ext>
          </c:extLst>
        </c:ser>
        <c:dLbls>
          <c:showLegendKey val="0"/>
          <c:showVal val="0"/>
          <c:showCatName val="0"/>
          <c:showSerName val="0"/>
          <c:showPercent val="0"/>
          <c:showBubbleSize val="0"/>
        </c:dLbls>
        <c:axId val="-2134297400"/>
        <c:axId val="-2134294376"/>
      </c:scatterChart>
      <c:valAx>
        <c:axId val="-2134297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294376"/>
        <c:crosses val="autoZero"/>
        <c:crossBetween val="midCat"/>
      </c:valAx>
      <c:valAx>
        <c:axId val="-21342943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2974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28 '!#REF!</c:f>
              <c:numCache>
                <c:formatCode>General</c:formatCode>
                <c:ptCount val="1"/>
                <c:pt idx="0">
                  <c:v>0</c:v>
                </c:pt>
              </c:numCache>
            </c:numRef>
          </c:xVal>
          <c:yVal>
            <c:numRef>
              <c:f>'Chapter 28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28 '!#REF!</c15:sqref>
                        </c15:formulaRef>
                      </c:ext>
                    </c:extLst>
                    <c:strCache>
                      <c:ptCount val="1"/>
                      <c:pt idx="0">
                        <c:v>#REF!</c:v>
                      </c:pt>
                    </c:strCache>
                  </c:strRef>
                </c15:tx>
              </c15:filteredSeriesTitle>
            </c:ext>
            <c:ext xmlns:c16="http://schemas.microsoft.com/office/drawing/2014/chart" uri="{C3380CC4-5D6E-409C-BE32-E72D297353CC}">
              <c16:uniqueId val="{00000000-325D-4886-A7AF-E8A26C8F5730}"/>
            </c:ext>
          </c:extLst>
        </c:ser>
        <c:dLbls>
          <c:showLegendKey val="0"/>
          <c:showVal val="0"/>
          <c:showCatName val="0"/>
          <c:showSerName val="0"/>
          <c:showPercent val="0"/>
          <c:showBubbleSize val="0"/>
        </c:dLbls>
        <c:axId val="-2136882280"/>
        <c:axId val="-2136885336"/>
      </c:scatterChart>
      <c:valAx>
        <c:axId val="-2136882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85336"/>
        <c:crosses val="autoZero"/>
        <c:crossBetween val="midCat"/>
      </c:valAx>
      <c:valAx>
        <c:axId val="-21368853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82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Comparison of NPV</a:t>
            </a:r>
          </a:p>
        </c:rich>
      </c:tx>
      <c:layout>
        <c:manualLayout>
          <c:xMode val="edge"/>
          <c:yMode val="edge"/>
          <c:x val="0.43597609931786102"/>
          <c:y val="4.8192621755613903E-2"/>
        </c:manualLayout>
      </c:layout>
      <c:overlay val="0"/>
      <c:spPr>
        <a:noFill/>
        <a:ln w="25400">
          <a:noFill/>
        </a:ln>
      </c:spPr>
    </c:title>
    <c:autoTitleDeleted val="0"/>
    <c:plotArea>
      <c:layout>
        <c:manualLayout>
          <c:layoutTarget val="inner"/>
          <c:xMode val="edge"/>
          <c:yMode val="edge"/>
          <c:x val="7.1138281982701695E-2"/>
          <c:y val="0.21084399368174001"/>
          <c:w val="0.76727718424199698"/>
          <c:h val="0.62048375283483403"/>
        </c:manualLayout>
      </c:layout>
      <c:scatterChart>
        <c:scatterStyle val="smoothMarker"/>
        <c:varyColors val="0"/>
        <c:ser>
          <c:idx val="0"/>
          <c:order val="0"/>
          <c:tx>
            <c:strRef>
              <c:f>'Chapter 17'!$A$47</c:f>
              <c:strCache>
                <c:ptCount val="1"/>
                <c:pt idx="0">
                  <c:v>NPV Investment A</c:v>
                </c:pt>
              </c:strCache>
            </c:strRef>
          </c:tx>
          <c:spPr>
            <a:ln w="12700">
              <a:solidFill>
                <a:srgbClr val="000080"/>
              </a:solidFill>
              <a:prstDash val="solid"/>
            </a:ln>
          </c:spPr>
          <c:marker>
            <c:symbol val="none"/>
          </c:marker>
          <c:xVal>
            <c:numRef>
              <c:f>'Chapter 17'!$B$46:$N$46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'Chapter 17'!$B$47:$N$47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c:ext xmlns:c16="http://schemas.microsoft.com/office/drawing/2014/chart" uri="{C3380CC4-5D6E-409C-BE32-E72D297353CC}">
              <c16:uniqueId val="{00000000-9EFA-44B0-AD53-414F538A2347}"/>
            </c:ext>
          </c:extLst>
        </c:ser>
        <c:ser>
          <c:idx val="1"/>
          <c:order val="1"/>
          <c:tx>
            <c:strRef>
              <c:f>'Chapter 17'!$A$48</c:f>
              <c:strCache>
                <c:ptCount val="1"/>
                <c:pt idx="0">
                  <c:v>NPV Investment B</c:v>
                </c:pt>
              </c:strCache>
            </c:strRef>
          </c:tx>
          <c:spPr>
            <a:ln w="12700">
              <a:solidFill>
                <a:srgbClr val="FF00FF"/>
              </a:solidFill>
              <a:prstDash val="solid"/>
            </a:ln>
          </c:spPr>
          <c:marker>
            <c:symbol val="none"/>
          </c:marker>
          <c:xVal>
            <c:numRef>
              <c:f>'Chapter 17'!$B$46:$N$46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'Chapter 17'!$B$48:$N$48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c:ext xmlns:c16="http://schemas.microsoft.com/office/drawing/2014/chart" uri="{C3380CC4-5D6E-409C-BE32-E72D297353CC}">
              <c16:uniqueId val="{00000001-9EFA-44B0-AD53-414F538A2347}"/>
            </c:ext>
          </c:extLst>
        </c:ser>
        <c:dLbls>
          <c:showLegendKey val="0"/>
          <c:showVal val="0"/>
          <c:showCatName val="0"/>
          <c:showSerName val="0"/>
          <c:showPercent val="0"/>
          <c:showBubbleSize val="0"/>
        </c:dLbls>
        <c:axId val="-2137429400"/>
        <c:axId val="-2138063288"/>
      </c:scatterChart>
      <c:valAx>
        <c:axId val="-2137429400"/>
        <c:scaling>
          <c:orientation val="minMax"/>
          <c:min val="0.08"/>
        </c:scaling>
        <c:delete val="0"/>
        <c:axPos val="b"/>
        <c:title>
          <c:tx>
            <c:rich>
              <a:bodyPr/>
              <a:lstStyle/>
              <a:p>
                <a:pPr>
                  <a:defRPr sz="575" b="1" i="0" u="none" strike="noStrike" baseline="0">
                    <a:solidFill>
                      <a:srgbClr val="000000"/>
                    </a:solidFill>
                    <a:latin typeface="Arial"/>
                    <a:ea typeface="Arial"/>
                    <a:cs typeface="Arial"/>
                  </a:defRPr>
                </a:pPr>
                <a:r>
                  <a:rPr lang="fr-FR"/>
                  <a:t>Rate</a:t>
                </a:r>
              </a:p>
            </c:rich>
          </c:tx>
          <c:layout>
            <c:manualLayout>
              <c:xMode val="edge"/>
              <c:yMode val="edge"/>
              <c:x val="0.44105729903028201"/>
              <c:y val="0.88554461942257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8063288"/>
        <c:crosses val="autoZero"/>
        <c:crossBetween val="midCat"/>
      </c:valAx>
      <c:valAx>
        <c:axId val="-2138063288"/>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NPV</a:t>
                </a:r>
              </a:p>
            </c:rich>
          </c:tx>
          <c:layout>
            <c:manualLayout>
              <c:xMode val="edge"/>
              <c:yMode val="edge"/>
              <c:x val="1.4227579350746301E-2"/>
              <c:y val="0.445784485272674"/>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429400"/>
        <c:crosses val="autoZero"/>
        <c:crossBetween val="midCat"/>
      </c:valAx>
      <c:spPr>
        <a:solidFill>
          <a:srgbClr val="FFFFFF"/>
        </a:solidFill>
        <a:ln w="12700">
          <a:solidFill>
            <a:srgbClr val="808080"/>
          </a:solidFill>
          <a:prstDash val="solid"/>
        </a:ln>
      </c:spPr>
    </c:plotArea>
    <c:legend>
      <c:legendPos val="r"/>
      <c:layout>
        <c:manualLayout>
          <c:xMode val="edge"/>
          <c:yMode val="edge"/>
          <c:x val="0.86280568139991698"/>
          <c:y val="0.40963983668708098"/>
          <c:w val="0.12398385981568801"/>
          <c:h val="0.2349402158063579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28 '!#REF!</c:f>
              <c:numCache>
                <c:formatCode>General</c:formatCode>
                <c:ptCount val="1"/>
                <c:pt idx="0">
                  <c:v>0</c:v>
                </c:pt>
              </c:numCache>
            </c:numRef>
          </c:xVal>
          <c:yVal>
            <c:numRef>
              <c:f>'Chapter 28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28 '!#REF!</c15:sqref>
                        </c15:formulaRef>
                      </c:ext>
                    </c:extLst>
                    <c:strCache>
                      <c:ptCount val="1"/>
                      <c:pt idx="0">
                        <c:v>#REF!</c:v>
                      </c:pt>
                    </c:strCache>
                  </c:strRef>
                </c15:tx>
              </c15:filteredSeriesTitle>
            </c:ext>
            <c:ext xmlns:c16="http://schemas.microsoft.com/office/drawing/2014/chart" uri="{C3380CC4-5D6E-409C-BE32-E72D297353CC}">
              <c16:uniqueId val="{00000000-E834-4AB8-BCAF-406AAF0040A1}"/>
            </c:ext>
          </c:extLst>
        </c:ser>
        <c:dLbls>
          <c:showLegendKey val="0"/>
          <c:showVal val="0"/>
          <c:showCatName val="0"/>
          <c:showSerName val="0"/>
          <c:showPercent val="0"/>
          <c:showBubbleSize val="0"/>
        </c:dLbls>
        <c:axId val="-2136921288"/>
        <c:axId val="-2136924392"/>
      </c:scatterChart>
      <c:valAx>
        <c:axId val="-2136921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924392"/>
        <c:crosses val="autoZero"/>
        <c:crossBetween val="midCat"/>
      </c:valAx>
      <c:valAx>
        <c:axId val="-2136924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9212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29'!#REF!</c:f>
              <c:numCache>
                <c:formatCode>General</c:formatCode>
                <c:ptCount val="1"/>
                <c:pt idx="0">
                  <c:v>0</c:v>
                </c:pt>
              </c:numCache>
            </c:numRef>
          </c:xVal>
          <c:yVal>
            <c:numRef>
              <c:f>'Chapter 29'!#REF!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29'!#REF!</c15:sqref>
                        </c15:formulaRef>
                      </c:ext>
                    </c:extLst>
                    <c:strCache>
                      <c:ptCount val="1"/>
                      <c:pt idx="0">
                        <c:v>#REF!</c:v>
                      </c:pt>
                    </c:strCache>
                  </c:strRef>
                </c15:tx>
              </c15:filteredSeriesTitle>
            </c:ext>
            <c:ext xmlns:c16="http://schemas.microsoft.com/office/drawing/2014/chart" uri="{C3380CC4-5D6E-409C-BE32-E72D297353CC}">
              <c16:uniqueId val="{00000000-2E28-4D64-B734-2CA0EBF93E56}"/>
            </c:ext>
          </c:extLst>
        </c:ser>
        <c:dLbls>
          <c:showLegendKey val="0"/>
          <c:showVal val="0"/>
          <c:showCatName val="0"/>
          <c:showSerName val="0"/>
          <c:showPercent val="0"/>
          <c:showBubbleSize val="0"/>
        </c:dLbls>
        <c:axId val="-2136987848"/>
        <c:axId val="-2136990952"/>
      </c:scatterChart>
      <c:valAx>
        <c:axId val="-2136987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990952"/>
        <c:crosses val="autoZero"/>
        <c:crossBetween val="midCat"/>
      </c:valAx>
      <c:valAx>
        <c:axId val="-21369909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987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29'!#REF!</c:f>
              <c:numCache>
                <c:formatCode>General</c:formatCode>
                <c:ptCount val="1"/>
                <c:pt idx="0">
                  <c:v>0</c:v>
                </c:pt>
              </c:numCache>
            </c:numRef>
          </c:xVal>
          <c:yVal>
            <c:numRef>
              <c:f>'Chapter 29'!#REF!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29'!#REF!</c15:sqref>
                        </c15:formulaRef>
                      </c:ext>
                    </c:extLst>
                    <c:strCache>
                      <c:ptCount val="1"/>
                      <c:pt idx="0">
                        <c:v>#REF!</c:v>
                      </c:pt>
                    </c:strCache>
                  </c:strRef>
                </c15:tx>
              </c15:filteredSeriesTitle>
            </c:ext>
            <c:ext xmlns:c16="http://schemas.microsoft.com/office/drawing/2014/chart" uri="{C3380CC4-5D6E-409C-BE32-E72D297353CC}">
              <c16:uniqueId val="{00000000-6A84-41A4-9748-85B0BEA447DE}"/>
            </c:ext>
          </c:extLst>
        </c:ser>
        <c:dLbls>
          <c:showLegendKey val="0"/>
          <c:showVal val="0"/>
          <c:showCatName val="0"/>
          <c:showSerName val="0"/>
          <c:showPercent val="0"/>
          <c:showBubbleSize val="0"/>
        </c:dLbls>
        <c:axId val="2113904568"/>
        <c:axId val="2113793576"/>
      </c:scatterChart>
      <c:valAx>
        <c:axId val="2113904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93576"/>
        <c:crosses val="autoZero"/>
        <c:crossBetween val="midCat"/>
      </c:valAx>
      <c:valAx>
        <c:axId val="2113793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904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58215946158"/>
          <c:y val="0.116279069767442"/>
          <c:w val="0.86903487717362504"/>
          <c:h val="0.76279069767441898"/>
        </c:manualLayout>
      </c:layout>
      <c:scatterChart>
        <c:scatterStyle val="smoothMarker"/>
        <c:varyColors val="0"/>
        <c:ser>
          <c:idx val="11"/>
          <c:order val="0"/>
          <c:tx>
            <c:strRef>
              <c:f>'Chapter 28'!$A$195</c:f>
              <c:strCache>
                <c:ptCount val="1"/>
                <c:pt idx="0">
                  <c:v>Cumulated and discounted cash flows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'Chapter 28'!$B$180:$I$180</c:f>
              <c:numCache>
                <c:formatCode>General</c:formatCode>
                <c:ptCount val="8"/>
                <c:pt idx="0">
                  <c:v>0</c:v>
                </c:pt>
                <c:pt idx="1">
                  <c:v>1</c:v>
                </c:pt>
                <c:pt idx="2">
                  <c:v>2</c:v>
                </c:pt>
                <c:pt idx="3">
                  <c:v>3</c:v>
                </c:pt>
                <c:pt idx="4">
                  <c:v>4</c:v>
                </c:pt>
                <c:pt idx="5">
                  <c:v>5</c:v>
                </c:pt>
                <c:pt idx="6">
                  <c:v>6</c:v>
                </c:pt>
                <c:pt idx="7">
                  <c:v>7</c:v>
                </c:pt>
              </c:numCache>
            </c:numRef>
          </c:xVal>
          <c:yVal>
            <c:numRef>
              <c:f>'Chapter 28'!$B$195:$I$195</c:f>
              <c:numCache>
                <c:formatCode>#,##0.00\ _F</c:formatCode>
                <c:ptCount val="8"/>
                <c:pt idx="0">
                  <c:v>-5200</c:v>
                </c:pt>
                <c:pt idx="1">
                  <c:v>-3381.8181818181802</c:v>
                </c:pt>
                <c:pt idx="2">
                  <c:v>-1728.925619834708</c:v>
                </c:pt>
                <c:pt idx="3">
                  <c:v>-226.29601803155174</c:v>
                </c:pt>
                <c:pt idx="4">
                  <c:v>1139.7308926985904</c:v>
                </c:pt>
                <c:pt idx="5">
                  <c:v>2381.5735388169014</c:v>
                </c:pt>
                <c:pt idx="6">
                  <c:v>3510.5213989244567</c:v>
                </c:pt>
                <c:pt idx="7">
                  <c:v>4536.8376353858703</c:v>
                </c:pt>
              </c:numCache>
            </c:numRef>
          </c:yVal>
          <c:smooth val="1"/>
          <c:extLst>
            <c:ext xmlns:c16="http://schemas.microsoft.com/office/drawing/2014/chart" uri="{C3380CC4-5D6E-409C-BE32-E72D297353CC}">
              <c16:uniqueId val="{00000000-319C-44B2-99F2-94A47E8E8B5F}"/>
            </c:ext>
          </c:extLst>
        </c:ser>
        <c:dLbls>
          <c:showLegendKey val="0"/>
          <c:showVal val="0"/>
          <c:showCatName val="0"/>
          <c:showSerName val="0"/>
          <c:showPercent val="0"/>
          <c:showBubbleSize val="0"/>
        </c:dLbls>
        <c:axId val="2113444360"/>
        <c:axId val="2113197000"/>
      </c:scatterChart>
      <c:valAx>
        <c:axId val="2113444360"/>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fr-FR"/>
                  <a:t>Years</a:t>
                </a:r>
              </a:p>
            </c:rich>
          </c:tx>
          <c:layout>
            <c:manualLayout>
              <c:xMode val="edge"/>
              <c:yMode val="edge"/>
              <c:x val="0.52164284478367795"/>
              <c:y val="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13197000"/>
        <c:crosses val="autoZero"/>
        <c:crossBetween val="midCat"/>
      </c:valAx>
      <c:valAx>
        <c:axId val="2113197000"/>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Cumulated and discounted cash flows</a:t>
                </a:r>
              </a:p>
            </c:rich>
          </c:tx>
          <c:layout>
            <c:manualLayout>
              <c:xMode val="edge"/>
              <c:yMode val="edge"/>
              <c:x val="5.5493898917231502E-3"/>
              <c:y val="0.14419197600299999"/>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134443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2165743395599"/>
          <c:y val="9.6153846153846201E-2"/>
          <c:w val="0.85208076433753599"/>
          <c:h val="0.72692307692307701"/>
        </c:manualLayout>
      </c:layout>
      <c:scatterChart>
        <c:scatterStyle val="smoothMarker"/>
        <c:varyColors val="0"/>
        <c:ser>
          <c:idx val="18"/>
          <c:order val="0"/>
          <c:tx>
            <c:strRef>
              <c:f>'Chapter 28'!$A$244</c:f>
              <c:strCache>
                <c:ptCount val="1"/>
                <c:pt idx="0">
                  <c:v>NPV</c:v>
                </c:pt>
              </c:strCache>
            </c:strRef>
          </c:tx>
          <c:spPr>
            <a:ln w="12700">
              <a:solidFill>
                <a:srgbClr val="99CC00"/>
              </a:solidFill>
              <a:prstDash val="solid"/>
            </a:ln>
          </c:spPr>
          <c:marker>
            <c:symbol val="diamond"/>
            <c:size val="5"/>
            <c:spPr>
              <a:solidFill>
                <a:srgbClr val="99CC00"/>
              </a:solidFill>
              <a:ln>
                <a:solidFill>
                  <a:srgbClr val="99CC00"/>
                </a:solidFill>
                <a:prstDash val="solid"/>
              </a:ln>
            </c:spPr>
          </c:marker>
          <c:xVal>
            <c:numRef>
              <c:f>'Chapter 28'!$B$223:$F$223</c:f>
              <c:numCache>
                <c:formatCode>General</c:formatCode>
                <c:ptCount val="5"/>
                <c:pt idx="0">
                  <c:v>0</c:v>
                </c:pt>
                <c:pt idx="1">
                  <c:v>15</c:v>
                </c:pt>
                <c:pt idx="2">
                  <c:v>30</c:v>
                </c:pt>
                <c:pt idx="3">
                  <c:v>45</c:v>
                </c:pt>
                <c:pt idx="4">
                  <c:v>60</c:v>
                </c:pt>
              </c:numCache>
            </c:numRef>
          </c:xVal>
          <c:yVal>
            <c:numRef>
              <c:f>'Chapter 28'!$B$244:$F$244</c:f>
              <c:numCache>
                <c:formatCode>0.00</c:formatCode>
                <c:ptCount val="5"/>
                <c:pt idx="1">
                  <c:v>5.3698630136986303</c:v>
                </c:pt>
                <c:pt idx="2">
                  <c:v>10.352054794520546</c:v>
                </c:pt>
                <c:pt idx="3">
                  <c:v>7.8794520547945162</c:v>
                </c:pt>
                <c:pt idx="4">
                  <c:v>-2.1979452054794599</c:v>
                </c:pt>
              </c:numCache>
            </c:numRef>
          </c:yVal>
          <c:smooth val="1"/>
          <c:extLst>
            <c:ext xmlns:c16="http://schemas.microsoft.com/office/drawing/2014/chart" uri="{C3380CC4-5D6E-409C-BE32-E72D297353CC}">
              <c16:uniqueId val="{00000000-B427-417E-B7E5-B574AB018A18}"/>
            </c:ext>
          </c:extLst>
        </c:ser>
        <c:dLbls>
          <c:showLegendKey val="0"/>
          <c:showVal val="0"/>
          <c:showCatName val="0"/>
          <c:showSerName val="0"/>
          <c:showPercent val="0"/>
          <c:showBubbleSize val="0"/>
        </c:dLbls>
        <c:axId val="2113429848"/>
        <c:axId val="2113287864"/>
      </c:scatterChart>
      <c:valAx>
        <c:axId val="2113429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Added days of credit</a:t>
                </a:r>
              </a:p>
            </c:rich>
          </c:tx>
          <c:layout>
            <c:manualLayout>
              <c:xMode val="edge"/>
              <c:yMode val="edge"/>
              <c:x val="0.448382406744611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3287864"/>
        <c:crosses val="autoZero"/>
        <c:crossBetween val="midCat"/>
      </c:valAx>
      <c:valAx>
        <c:axId val="2113287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NPV</a:t>
                </a:r>
              </a:p>
            </c:rich>
          </c:tx>
          <c:layout>
            <c:manualLayout>
              <c:xMode val="edge"/>
              <c:yMode val="edge"/>
              <c:x val="2.46533365147538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3429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29989519626"/>
          <c:y val="9.6153846153846201E-2"/>
          <c:w val="0.83667243225186605"/>
          <c:h val="0.72692307692307701"/>
        </c:manualLayout>
      </c:layout>
      <c:scatterChart>
        <c:scatterStyle val="smoothMarker"/>
        <c:varyColors val="0"/>
        <c:ser>
          <c:idx val="14"/>
          <c:order val="0"/>
          <c:tx>
            <c:strRef>
              <c:f>'Chapter 28'!$A$280</c:f>
              <c:strCache>
                <c:ptCount val="1"/>
                <c:pt idx="0">
                  <c:v>NPV</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xVal>
            <c:numRef>
              <c:f>'Chapter 28'!$B$267:$F$267</c:f>
              <c:numCache>
                <c:formatCode>General</c:formatCode>
                <c:ptCount val="5"/>
                <c:pt idx="0">
                  <c:v>0</c:v>
                </c:pt>
                <c:pt idx="1">
                  <c:v>15</c:v>
                </c:pt>
                <c:pt idx="2">
                  <c:v>30</c:v>
                </c:pt>
                <c:pt idx="3">
                  <c:v>45</c:v>
                </c:pt>
                <c:pt idx="4">
                  <c:v>60</c:v>
                </c:pt>
              </c:numCache>
            </c:numRef>
          </c:xVal>
          <c:yVal>
            <c:numRef>
              <c:f>'Chapter 28'!$B$280:$F$280</c:f>
              <c:numCache>
                <c:formatCode>0.00</c:formatCode>
                <c:ptCount val="5"/>
                <c:pt idx="0">
                  <c:v>0</c:v>
                </c:pt>
                <c:pt idx="1">
                  <c:v>3.0704217164450256</c:v>
                </c:pt>
                <c:pt idx="2">
                  <c:v>-18.518051933697961</c:v>
                </c:pt>
                <c:pt idx="3">
                  <c:v>-46.006035988831968</c:v>
                </c:pt>
                <c:pt idx="4">
                  <c:v>-103.42393579639008</c:v>
                </c:pt>
              </c:numCache>
            </c:numRef>
          </c:yVal>
          <c:smooth val="1"/>
          <c:extLst>
            <c:ext xmlns:c16="http://schemas.microsoft.com/office/drawing/2014/chart" uri="{C3380CC4-5D6E-409C-BE32-E72D297353CC}">
              <c16:uniqueId val="{00000000-10D5-4279-A496-DA5169E81895}"/>
            </c:ext>
          </c:extLst>
        </c:ser>
        <c:dLbls>
          <c:showLegendKey val="0"/>
          <c:showVal val="0"/>
          <c:showCatName val="0"/>
          <c:showSerName val="0"/>
          <c:showPercent val="0"/>
          <c:showBubbleSize val="0"/>
        </c:dLbls>
        <c:axId val="2113415928"/>
        <c:axId val="2113386888"/>
      </c:scatterChart>
      <c:valAx>
        <c:axId val="21134159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Added days of credit</a:t>
                </a:r>
              </a:p>
            </c:rich>
          </c:tx>
          <c:layout>
            <c:manualLayout>
              <c:xMode val="edge"/>
              <c:yMode val="edge"/>
              <c:x val="0.45608666189453601"/>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3386888"/>
        <c:crosses val="autoZero"/>
        <c:crossBetween val="midCat"/>
      </c:valAx>
      <c:valAx>
        <c:axId val="2113386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NPV</a:t>
                </a:r>
              </a:p>
            </c:rich>
          </c:tx>
          <c:layout>
            <c:manualLayout>
              <c:xMode val="edge"/>
              <c:yMode val="edge"/>
              <c:x val="2.46533365147538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3415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30 '!#REF!</c:f>
              <c:numCache>
                <c:formatCode>General</c:formatCode>
                <c:ptCount val="1"/>
                <c:pt idx="0">
                  <c:v>0</c:v>
                </c:pt>
              </c:numCache>
            </c:numRef>
          </c:xVal>
          <c:yVal>
            <c:numRef>
              <c:f>' Chapter 30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30 '!#REF!</c15:sqref>
                        </c15:formulaRef>
                      </c:ext>
                    </c:extLst>
                    <c:strCache>
                      <c:ptCount val="1"/>
                      <c:pt idx="0">
                        <c:v>#REF!</c:v>
                      </c:pt>
                    </c:strCache>
                  </c:strRef>
                </c15:tx>
              </c15:filteredSeriesTitle>
            </c:ext>
            <c:ext xmlns:c16="http://schemas.microsoft.com/office/drawing/2014/chart" uri="{C3380CC4-5D6E-409C-BE32-E72D297353CC}">
              <c16:uniqueId val="{00000000-5EA0-4E40-A632-AA76EFBC27FD}"/>
            </c:ext>
          </c:extLst>
        </c:ser>
        <c:dLbls>
          <c:showLegendKey val="0"/>
          <c:showVal val="0"/>
          <c:showCatName val="0"/>
          <c:showSerName val="0"/>
          <c:showPercent val="0"/>
          <c:showBubbleSize val="0"/>
        </c:dLbls>
        <c:axId val="2111765304"/>
        <c:axId val="2111370328"/>
      </c:scatterChart>
      <c:valAx>
        <c:axId val="2111765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370328"/>
        <c:crosses val="autoZero"/>
        <c:crossBetween val="midCat"/>
      </c:valAx>
      <c:valAx>
        <c:axId val="21113703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765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30 '!#REF!</c:f>
              <c:numCache>
                <c:formatCode>General</c:formatCode>
                <c:ptCount val="1"/>
                <c:pt idx="0">
                  <c:v>0</c:v>
                </c:pt>
              </c:numCache>
            </c:numRef>
          </c:xVal>
          <c:yVal>
            <c:numRef>
              <c:f>' Chapter 30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30 '!#REF!</c15:sqref>
                        </c15:formulaRef>
                      </c:ext>
                    </c:extLst>
                    <c:strCache>
                      <c:ptCount val="1"/>
                      <c:pt idx="0">
                        <c:v>#REF!</c:v>
                      </c:pt>
                    </c:strCache>
                  </c:strRef>
                </c15:tx>
              </c15:filteredSeriesTitle>
            </c:ext>
            <c:ext xmlns:c16="http://schemas.microsoft.com/office/drawing/2014/chart" uri="{C3380CC4-5D6E-409C-BE32-E72D297353CC}">
              <c16:uniqueId val="{00000000-78F4-47E7-912E-0E0C281F5424}"/>
            </c:ext>
          </c:extLst>
        </c:ser>
        <c:dLbls>
          <c:showLegendKey val="0"/>
          <c:showVal val="0"/>
          <c:showCatName val="0"/>
          <c:showSerName val="0"/>
          <c:showPercent val="0"/>
          <c:showBubbleSize val="0"/>
        </c:dLbls>
        <c:axId val="2111571288"/>
        <c:axId val="2111406760"/>
      </c:scatterChart>
      <c:valAx>
        <c:axId val="2111571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406760"/>
        <c:crosses val="autoZero"/>
        <c:crossBetween val="midCat"/>
      </c:valAx>
      <c:valAx>
        <c:axId val="2111406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5712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31 '!#REF!</c:f>
              <c:numCache>
                <c:formatCode>General</c:formatCode>
                <c:ptCount val="1"/>
                <c:pt idx="0">
                  <c:v>0</c:v>
                </c:pt>
              </c:numCache>
            </c:numRef>
          </c:xVal>
          <c:yVal>
            <c:numRef>
              <c:f>'Chapter 31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31 '!#REF!</c15:sqref>
                        </c15:formulaRef>
                      </c:ext>
                    </c:extLst>
                    <c:strCache>
                      <c:ptCount val="1"/>
                      <c:pt idx="0">
                        <c:v>#REF!</c:v>
                      </c:pt>
                    </c:strCache>
                  </c:strRef>
                </c15:tx>
              </c15:filteredSeriesTitle>
            </c:ext>
            <c:ext xmlns:c16="http://schemas.microsoft.com/office/drawing/2014/chart" uri="{C3380CC4-5D6E-409C-BE32-E72D297353CC}">
              <c16:uniqueId val="{00000000-7CF6-4493-940F-81C96969E541}"/>
            </c:ext>
          </c:extLst>
        </c:ser>
        <c:dLbls>
          <c:showLegendKey val="0"/>
          <c:showVal val="0"/>
          <c:showCatName val="0"/>
          <c:showSerName val="0"/>
          <c:showPercent val="0"/>
          <c:showBubbleSize val="0"/>
        </c:dLbls>
        <c:axId val="2111781208"/>
        <c:axId val="2111771896"/>
      </c:scatterChart>
      <c:valAx>
        <c:axId val="2111781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771896"/>
        <c:crosses val="autoZero"/>
        <c:crossBetween val="midCat"/>
      </c:valAx>
      <c:valAx>
        <c:axId val="2111771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781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31 '!#REF!</c:f>
              <c:numCache>
                <c:formatCode>General</c:formatCode>
                <c:ptCount val="1"/>
                <c:pt idx="0">
                  <c:v>0</c:v>
                </c:pt>
              </c:numCache>
            </c:numRef>
          </c:xVal>
          <c:yVal>
            <c:numRef>
              <c:f>'Chapter 31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31 '!#REF!</c15:sqref>
                        </c15:formulaRef>
                      </c:ext>
                    </c:extLst>
                    <c:strCache>
                      <c:ptCount val="1"/>
                      <c:pt idx="0">
                        <c:v>#REF!</c:v>
                      </c:pt>
                    </c:strCache>
                  </c:strRef>
                </c15:tx>
              </c15:filteredSeriesTitle>
            </c:ext>
            <c:ext xmlns:c16="http://schemas.microsoft.com/office/drawing/2014/chart" uri="{C3380CC4-5D6E-409C-BE32-E72D297353CC}">
              <c16:uniqueId val="{00000000-73DD-4068-83C3-BC185CFFB201}"/>
            </c:ext>
          </c:extLst>
        </c:ser>
        <c:dLbls>
          <c:showLegendKey val="0"/>
          <c:showVal val="0"/>
          <c:showCatName val="0"/>
          <c:showSerName val="0"/>
          <c:showPercent val="0"/>
          <c:showBubbleSize val="0"/>
        </c:dLbls>
        <c:axId val="2111578520"/>
        <c:axId val="2111568424"/>
      </c:scatterChart>
      <c:valAx>
        <c:axId val="211157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568424"/>
        <c:crosses val="autoZero"/>
        <c:crossBetween val="midCat"/>
      </c:valAx>
      <c:valAx>
        <c:axId val="2111568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578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47677789519901"/>
          <c:y val="7.1428986636129496E-2"/>
          <c:w val="0.63894586609591497"/>
          <c:h val="0.73809952857333905"/>
        </c:manualLayout>
      </c:layout>
      <c:barChart>
        <c:barDir val="col"/>
        <c:grouping val="stacked"/>
        <c:varyColors val="0"/>
        <c:ser>
          <c:idx val="3"/>
          <c:order val="0"/>
          <c:tx>
            <c:strRef>
              <c:f>'Chapter 17'!$D$77</c:f>
              <c:strCache>
                <c:ptCount val="1"/>
                <c:pt idx="0">
                  <c:v>Capital depreciation</c:v>
                </c:pt>
              </c:strCache>
            </c:strRef>
          </c:tx>
          <c:spPr>
            <a:solidFill>
              <a:srgbClr val="CCFFFF"/>
            </a:solidFill>
            <a:ln w="12700">
              <a:solidFill>
                <a:srgbClr val="000000"/>
              </a:solidFill>
              <a:prstDash val="solid"/>
            </a:ln>
          </c:spPr>
          <c:invertIfNegative val="0"/>
          <c:val>
            <c:numRef>
              <c:f>'Chapter 17'!$D$78:$D$81</c:f>
              <c:numCache>
                <c:formatCode>#,##0.00\ _F</c:formatCode>
                <c:ptCount val="4"/>
                <c:pt idx="0">
                  <c:v>22.5228</c:v>
                </c:pt>
                <c:pt idx="1">
                  <c:v>24.099395999999999</c:v>
                </c:pt>
                <c:pt idx="2">
                  <c:v>25.786353720000001</c:v>
                </c:pt>
                <c:pt idx="3">
                  <c:v>27.591398480399999</c:v>
                </c:pt>
              </c:numCache>
            </c:numRef>
          </c:val>
          <c:extLst>
            <c:ext xmlns:c16="http://schemas.microsoft.com/office/drawing/2014/chart" uri="{C3380CC4-5D6E-409C-BE32-E72D297353CC}">
              <c16:uniqueId val="{00000000-297D-404D-87F0-74B86E13640E}"/>
            </c:ext>
          </c:extLst>
        </c:ser>
        <c:ser>
          <c:idx val="4"/>
          <c:order val="1"/>
          <c:tx>
            <c:strRef>
              <c:f>'Chapter 17'!$E$77</c:f>
              <c:strCache>
                <c:ptCount val="1"/>
                <c:pt idx="0">
                  <c:v>Interests</c:v>
                </c:pt>
              </c:strCache>
            </c:strRef>
          </c:tx>
          <c:spPr>
            <a:solidFill>
              <a:srgbClr val="660066"/>
            </a:solidFill>
            <a:ln w="12700">
              <a:solidFill>
                <a:srgbClr val="000000"/>
              </a:solidFill>
              <a:prstDash val="solid"/>
            </a:ln>
          </c:spPr>
          <c:invertIfNegative val="0"/>
          <c:val>
            <c:numRef>
              <c:f>'Chapter 17'!$E$78:$E$81</c:f>
              <c:numCache>
                <c:formatCode>#,##0.00\ _F</c:formatCode>
                <c:ptCount val="4"/>
                <c:pt idx="0">
                  <c:v>7.0000000000000009</c:v>
                </c:pt>
                <c:pt idx="1">
                  <c:v>5.4234040000000006</c:v>
                </c:pt>
                <c:pt idx="2">
                  <c:v>3.73644628</c:v>
                </c:pt>
                <c:pt idx="3">
                  <c:v>1.9314015195999998</c:v>
                </c:pt>
              </c:numCache>
            </c:numRef>
          </c:val>
          <c:extLst>
            <c:ext xmlns:c16="http://schemas.microsoft.com/office/drawing/2014/chart" uri="{C3380CC4-5D6E-409C-BE32-E72D297353CC}">
              <c16:uniqueId val="{00000001-297D-404D-87F0-74B86E13640E}"/>
            </c:ext>
          </c:extLst>
        </c:ser>
        <c:dLbls>
          <c:showLegendKey val="0"/>
          <c:showVal val="0"/>
          <c:showCatName val="0"/>
          <c:showSerName val="0"/>
          <c:showPercent val="0"/>
          <c:showBubbleSize val="0"/>
        </c:dLbls>
        <c:gapWidth val="150"/>
        <c:overlap val="100"/>
        <c:axId val="-2138917800"/>
        <c:axId val="-2138911720"/>
      </c:barChart>
      <c:catAx>
        <c:axId val="-2138917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38336756586968201"/>
              <c:y val="0.851195475565553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8911720"/>
        <c:crosses val="autoZero"/>
        <c:auto val="1"/>
        <c:lblAlgn val="ctr"/>
        <c:lblOffset val="100"/>
        <c:tickLblSkip val="1"/>
        <c:tickMarkSkip val="1"/>
        <c:noMultiLvlLbl val="0"/>
      </c:catAx>
      <c:valAx>
        <c:axId val="-2138911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141987829614601E-2"/>
              <c:y val="0.41071678540182499"/>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38917800"/>
        <c:crosses val="autoZero"/>
        <c:crossBetween val="between"/>
      </c:valAx>
      <c:spPr>
        <a:solidFill>
          <a:srgbClr val="C0C0C0"/>
        </a:solidFill>
        <a:ln w="12700">
          <a:solidFill>
            <a:srgbClr val="808080"/>
          </a:solidFill>
          <a:prstDash val="solid"/>
        </a:ln>
      </c:spPr>
    </c:plotArea>
    <c:legend>
      <c:legendPos val="r"/>
      <c:layout>
        <c:manualLayout>
          <c:xMode val="edge"/>
          <c:yMode val="edge"/>
          <c:x val="0.75862154147567296"/>
          <c:y val="0.35714473190851098"/>
          <c:w val="0.227180740338492"/>
          <c:h val="0.2321441069866269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32 '!#REF!</c:f>
              <c:numCache>
                <c:formatCode>General</c:formatCode>
                <c:ptCount val="1"/>
                <c:pt idx="0">
                  <c:v>1</c:v>
                </c:pt>
              </c:numCache>
            </c:numRef>
          </c:xVal>
          <c:yVal>
            <c:numRef>
              <c:f>'Chapter 32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'Chapter 32 '!#REF!</c15:sqref>
                        </c15:formulaRef>
                      </c:ext>
                    </c:extLst>
                    <c:strCache>
                      <c:ptCount val="1"/>
                      <c:pt idx="0">
                        <c:v>#REF!</c:v>
                      </c:pt>
                    </c:strCache>
                  </c:strRef>
                </c15:tx>
              </c15:filteredSeriesTitle>
            </c:ext>
            <c:ext xmlns:c16="http://schemas.microsoft.com/office/drawing/2014/chart" uri="{C3380CC4-5D6E-409C-BE32-E72D297353CC}">
              <c16:uniqueId val="{00000000-36C7-4241-ACDD-5FFFDC369CD8}"/>
            </c:ext>
          </c:extLst>
        </c:ser>
        <c:dLbls>
          <c:showLegendKey val="0"/>
          <c:showVal val="0"/>
          <c:showCatName val="0"/>
          <c:showSerName val="0"/>
          <c:showPercent val="0"/>
          <c:showBubbleSize val="0"/>
        </c:dLbls>
        <c:axId val="2111404936"/>
        <c:axId val="2111403704"/>
      </c:scatterChart>
      <c:valAx>
        <c:axId val="2111404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403704"/>
        <c:crosses val="autoZero"/>
        <c:crossBetween val="midCat"/>
      </c:valAx>
      <c:valAx>
        <c:axId val="2111403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4049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32 '!#REF!</c:f>
              <c:numCache>
                <c:formatCode>General</c:formatCode>
                <c:ptCount val="1"/>
                <c:pt idx="0">
                  <c:v>1</c:v>
                </c:pt>
              </c:numCache>
            </c:numRef>
          </c:xVal>
          <c:yVal>
            <c:numRef>
              <c:f>'Chapter 32 '!#REF!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'Chapter 32 '!#REF!</c15:sqref>
                        </c15:formulaRef>
                      </c:ext>
                    </c:extLst>
                    <c:strCache>
                      <c:ptCount val="1"/>
                      <c:pt idx="0">
                        <c:v>#REF!</c:v>
                      </c:pt>
                    </c:strCache>
                  </c:strRef>
                </c15:tx>
              </c15:filteredSeriesTitle>
            </c:ext>
            <c:ext xmlns:c16="http://schemas.microsoft.com/office/drawing/2014/chart" uri="{C3380CC4-5D6E-409C-BE32-E72D297353CC}">
              <c16:uniqueId val="{00000000-AF10-4D9B-80E4-DC8EDA2B0346}"/>
            </c:ext>
          </c:extLst>
        </c:ser>
        <c:dLbls>
          <c:showLegendKey val="0"/>
          <c:showVal val="0"/>
          <c:showCatName val="0"/>
          <c:showSerName val="0"/>
          <c:showPercent val="0"/>
          <c:showBubbleSize val="0"/>
        </c:dLbls>
        <c:axId val="2111326520"/>
        <c:axId val="2111314984"/>
      </c:scatterChart>
      <c:valAx>
        <c:axId val="211132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314984"/>
        <c:crosses val="autoZero"/>
        <c:crossBetween val="midCat"/>
      </c:valAx>
      <c:valAx>
        <c:axId val="2111314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326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33 '!#REF!</c:f>
              <c:numCache>
                <c:formatCode>General</c:formatCode>
                <c:ptCount val="1"/>
                <c:pt idx="0">
                  <c:v>0</c:v>
                </c:pt>
              </c:numCache>
            </c:numRef>
          </c:xVal>
          <c:yVal>
            <c:numRef>
              <c:f>'Chapter 33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33 '!#REF!</c15:sqref>
                        </c15:formulaRef>
                      </c:ext>
                    </c:extLst>
                    <c:strCache>
                      <c:ptCount val="1"/>
                      <c:pt idx="0">
                        <c:v>#REF!</c:v>
                      </c:pt>
                    </c:strCache>
                  </c:strRef>
                </c15:tx>
              </c15:filteredSeriesTitle>
            </c:ext>
            <c:ext xmlns:c16="http://schemas.microsoft.com/office/drawing/2014/chart" uri="{C3380CC4-5D6E-409C-BE32-E72D297353CC}">
              <c16:uniqueId val="{00000000-FE29-4252-BDB3-6A9A6C8E6246}"/>
            </c:ext>
          </c:extLst>
        </c:ser>
        <c:dLbls>
          <c:showLegendKey val="0"/>
          <c:showVal val="0"/>
          <c:showCatName val="0"/>
          <c:showSerName val="0"/>
          <c:showPercent val="0"/>
          <c:showBubbleSize val="0"/>
        </c:dLbls>
        <c:axId val="2113806024"/>
        <c:axId val="2113800616"/>
      </c:scatterChart>
      <c:valAx>
        <c:axId val="2113806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800616"/>
        <c:crosses val="autoZero"/>
        <c:crossBetween val="midCat"/>
      </c:valAx>
      <c:valAx>
        <c:axId val="2113800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8060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33 '!#REF!</c:f>
              <c:numCache>
                <c:formatCode>General</c:formatCode>
                <c:ptCount val="1"/>
                <c:pt idx="0">
                  <c:v>0</c:v>
                </c:pt>
              </c:numCache>
            </c:numRef>
          </c:xVal>
          <c:yVal>
            <c:numRef>
              <c:f>'Chapter 33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33 '!#REF!</c15:sqref>
                        </c15:formulaRef>
                      </c:ext>
                    </c:extLst>
                    <c:strCache>
                      <c:ptCount val="1"/>
                      <c:pt idx="0">
                        <c:v>#REF!</c:v>
                      </c:pt>
                    </c:strCache>
                  </c:strRef>
                </c15:tx>
              </c15:filteredSeriesTitle>
            </c:ext>
            <c:ext xmlns:c16="http://schemas.microsoft.com/office/drawing/2014/chart" uri="{C3380CC4-5D6E-409C-BE32-E72D297353CC}">
              <c16:uniqueId val="{00000000-6DDE-4573-8535-215C46F80B76}"/>
            </c:ext>
          </c:extLst>
        </c:ser>
        <c:dLbls>
          <c:showLegendKey val="0"/>
          <c:showVal val="0"/>
          <c:showCatName val="0"/>
          <c:showSerName val="0"/>
          <c:showPercent val="0"/>
          <c:showBubbleSize val="0"/>
        </c:dLbls>
        <c:axId val="2113746584"/>
        <c:axId val="2113743048"/>
      </c:scatterChart>
      <c:valAx>
        <c:axId val="2113746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43048"/>
        <c:crosses val="autoZero"/>
        <c:crossBetween val="midCat"/>
      </c:valAx>
      <c:valAx>
        <c:axId val="21137430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74658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34 '!#REF!</c:f>
              <c:numCache>
                <c:formatCode>General</c:formatCode>
                <c:ptCount val="1"/>
                <c:pt idx="0">
                  <c:v>0</c:v>
                </c:pt>
              </c:numCache>
            </c:numRef>
          </c:xVal>
          <c:yVal>
            <c:numRef>
              <c:f>' Chapter 34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34 '!#REF!</c15:sqref>
                        </c15:formulaRef>
                      </c:ext>
                    </c:extLst>
                    <c:strCache>
                      <c:ptCount val="1"/>
                      <c:pt idx="0">
                        <c:v>#REF!</c:v>
                      </c:pt>
                    </c:strCache>
                  </c:strRef>
                </c15:tx>
              </c15:filteredSeriesTitle>
            </c:ext>
            <c:ext xmlns:c16="http://schemas.microsoft.com/office/drawing/2014/chart" uri="{C3380CC4-5D6E-409C-BE32-E72D297353CC}">
              <c16:uniqueId val="{00000000-07EC-4100-B9C7-0237718CC0A5}"/>
            </c:ext>
          </c:extLst>
        </c:ser>
        <c:dLbls>
          <c:showLegendKey val="0"/>
          <c:showVal val="0"/>
          <c:showCatName val="0"/>
          <c:showSerName val="0"/>
          <c:showPercent val="0"/>
          <c:showBubbleSize val="0"/>
        </c:dLbls>
        <c:axId val="-2134757464"/>
        <c:axId val="-2134760568"/>
      </c:scatterChart>
      <c:valAx>
        <c:axId val="-2134757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760568"/>
        <c:crosses val="autoZero"/>
        <c:crossBetween val="midCat"/>
      </c:valAx>
      <c:valAx>
        <c:axId val="-2134760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757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34 '!#REF!</c:f>
              <c:numCache>
                <c:formatCode>General</c:formatCode>
                <c:ptCount val="1"/>
                <c:pt idx="0">
                  <c:v>0</c:v>
                </c:pt>
              </c:numCache>
            </c:numRef>
          </c:xVal>
          <c:yVal>
            <c:numRef>
              <c:f>' Chapter 34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34 '!#REF!</c15:sqref>
                        </c15:formulaRef>
                      </c:ext>
                    </c:extLst>
                    <c:strCache>
                      <c:ptCount val="1"/>
                      <c:pt idx="0">
                        <c:v>#REF!</c:v>
                      </c:pt>
                    </c:strCache>
                  </c:strRef>
                </c15:tx>
              </c15:filteredSeriesTitle>
            </c:ext>
            <c:ext xmlns:c16="http://schemas.microsoft.com/office/drawing/2014/chart" uri="{C3380CC4-5D6E-409C-BE32-E72D297353CC}">
              <c16:uniqueId val="{00000000-17B6-48AB-9771-C38BF78EBF8E}"/>
            </c:ext>
          </c:extLst>
        </c:ser>
        <c:dLbls>
          <c:showLegendKey val="0"/>
          <c:showVal val="0"/>
          <c:showCatName val="0"/>
          <c:showSerName val="0"/>
          <c:showPercent val="0"/>
          <c:showBubbleSize val="0"/>
        </c:dLbls>
        <c:axId val="-2134792952"/>
        <c:axId val="-2134796056"/>
      </c:scatterChart>
      <c:valAx>
        <c:axId val="-2134792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796056"/>
        <c:crosses val="autoZero"/>
        <c:crossBetween val="midCat"/>
      </c:valAx>
      <c:valAx>
        <c:axId val="-2134796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7929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8"/>
          <c:order val="0"/>
          <c:spPr>
            <a:ln w="12700">
              <a:solidFill>
                <a:srgbClr val="FF0000"/>
              </a:solidFill>
              <a:prstDash val="solid"/>
            </a:ln>
          </c:spPr>
          <c:marker>
            <c:symbol val="square"/>
            <c:size val="5"/>
            <c:spPr>
              <a:noFill/>
              <a:ln>
                <a:solidFill>
                  <a:srgbClr val="FF0000"/>
                </a:solidFill>
                <a:prstDash val="solid"/>
              </a:ln>
            </c:spPr>
          </c:marker>
          <c:val>
            <c:numRef>
              <c:f>' Chapter 34 '!#REF!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 Chapter 34 '!#REF!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 Chapter 34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69F-40D7-AD71-DB65E328737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 Chapter 34 '!#REF!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 Chapter 34 '!#REF!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 Chapter 34 '!#REF!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69F-40D7-AD71-DB65E328737D}"/>
            </c:ext>
          </c:extLst>
        </c:ser>
        <c:dLbls>
          <c:showLegendKey val="0"/>
          <c:showVal val="0"/>
          <c:showCatName val="0"/>
          <c:showSerName val="0"/>
          <c:showPercent val="0"/>
          <c:showBubbleSize val="0"/>
        </c:dLbls>
        <c:marker val="1"/>
        <c:smooth val="0"/>
        <c:axId val="-2134835672"/>
        <c:axId val="-2134843880"/>
      </c:lineChart>
      <c:catAx>
        <c:axId val="-2134835672"/>
        <c:scaling>
          <c:orientation val="minMax"/>
        </c:scaling>
        <c:delete val="0"/>
        <c:axPos val="b"/>
        <c:minorGridlines>
          <c:spPr>
            <a:ln w="3175">
              <a:solidFill>
                <a:srgbClr val="000000"/>
              </a:solidFill>
              <a:prstDash val="solid"/>
            </a:ln>
          </c:spPr>
        </c:minorGridlines>
        <c:title>
          <c:tx>
            <c:rich>
              <a:bodyPr/>
              <a:lstStyle/>
              <a:p>
                <a:pPr>
                  <a:defRPr sz="250" b="1" i="0" u="none" strike="noStrike" baseline="0">
                    <a:solidFill>
                      <a:srgbClr val="000000"/>
                    </a:solidFill>
                    <a:latin typeface="Arial"/>
                    <a:ea typeface="Arial"/>
                    <a:cs typeface="Arial"/>
                  </a:defRPr>
                </a:pPr>
                <a:r>
                  <a:rPr lang="fr-FR"/>
                  <a:t>Endettement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2134843880"/>
        <c:crosses val="autoZero"/>
        <c:auto val="1"/>
        <c:lblAlgn val="ctr"/>
        <c:lblOffset val="100"/>
        <c:tickLblSkip val="1"/>
        <c:tickMarkSkip val="1"/>
        <c:noMultiLvlLbl val="0"/>
      </c:catAx>
      <c:valAx>
        <c:axId val="-2134843880"/>
        <c:scaling>
          <c:orientation val="minMax"/>
        </c:scaling>
        <c:delete val="0"/>
        <c:axPos val="l"/>
        <c:majorGridlines>
          <c:spPr>
            <a:ln w="3175">
              <a:solidFill>
                <a:srgbClr val="000000"/>
              </a:solidFill>
              <a:prstDash val="solid"/>
            </a:ln>
          </c:spPr>
        </c:majorGridlines>
        <c:title>
          <c:tx>
            <c:rich>
              <a:bodyPr/>
              <a:lstStyle/>
              <a:p>
                <a:pPr>
                  <a:defRPr sz="250" b="1" i="0" u="none" strike="noStrike" baseline="0">
                    <a:solidFill>
                      <a:srgbClr val="000000"/>
                    </a:solidFill>
                    <a:latin typeface="Arial"/>
                    <a:ea typeface="Arial"/>
                    <a:cs typeface="Arial"/>
                  </a:defRPr>
                </a:pPr>
                <a:r>
                  <a:rPr lang="fr-FR"/>
                  <a:t>Revenu net pour l'investisseur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2134835672"/>
        <c:crosses val="autoZero"/>
        <c:crossBetween val="between"/>
      </c:valAx>
      <c:spPr>
        <a:solidFill>
          <a:srgbClr val="CCCC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35 '!#REF!</c:f>
              <c:numCache>
                <c:formatCode>General</c:formatCode>
                <c:ptCount val="1"/>
                <c:pt idx="0">
                  <c:v>0</c:v>
                </c:pt>
              </c:numCache>
            </c:numRef>
          </c:xVal>
          <c:yVal>
            <c:numRef>
              <c:f>'Chapter 35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35 '!#REF!</c15:sqref>
                        </c15:formulaRef>
                      </c:ext>
                    </c:extLst>
                    <c:strCache>
                      <c:ptCount val="1"/>
                      <c:pt idx="0">
                        <c:v>#REF!</c:v>
                      </c:pt>
                    </c:strCache>
                  </c:strRef>
                </c15:tx>
              </c15:filteredSeriesTitle>
            </c:ext>
            <c:ext xmlns:c16="http://schemas.microsoft.com/office/drawing/2014/chart" uri="{C3380CC4-5D6E-409C-BE32-E72D297353CC}">
              <c16:uniqueId val="{00000000-C1DF-48F4-B13A-B493D2B0952E}"/>
            </c:ext>
          </c:extLst>
        </c:ser>
        <c:dLbls>
          <c:showLegendKey val="0"/>
          <c:showVal val="0"/>
          <c:showCatName val="0"/>
          <c:showSerName val="0"/>
          <c:showPercent val="0"/>
          <c:showBubbleSize val="0"/>
        </c:dLbls>
        <c:axId val="2111107288"/>
        <c:axId val="2111090744"/>
      </c:scatterChart>
      <c:valAx>
        <c:axId val="2111107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090744"/>
        <c:crosses val="autoZero"/>
        <c:crossBetween val="midCat"/>
      </c:valAx>
      <c:valAx>
        <c:axId val="2111090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1072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35 '!#REF!</c:f>
              <c:numCache>
                <c:formatCode>General</c:formatCode>
                <c:ptCount val="1"/>
                <c:pt idx="0">
                  <c:v>0</c:v>
                </c:pt>
              </c:numCache>
            </c:numRef>
          </c:xVal>
          <c:yVal>
            <c:numRef>
              <c:f>'Chapter 35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35 '!#REF!</c15:sqref>
                        </c15:formulaRef>
                      </c:ext>
                    </c:extLst>
                    <c:strCache>
                      <c:ptCount val="1"/>
                      <c:pt idx="0">
                        <c:v>#REF!</c:v>
                      </c:pt>
                    </c:strCache>
                  </c:strRef>
                </c15:tx>
              </c15:filteredSeriesTitle>
            </c:ext>
            <c:ext xmlns:c16="http://schemas.microsoft.com/office/drawing/2014/chart" uri="{C3380CC4-5D6E-409C-BE32-E72D297353CC}">
              <c16:uniqueId val="{00000000-C7E4-48F0-B1AB-B135A73A19D0}"/>
            </c:ext>
          </c:extLst>
        </c:ser>
        <c:dLbls>
          <c:showLegendKey val="0"/>
          <c:showVal val="0"/>
          <c:showCatName val="0"/>
          <c:showSerName val="0"/>
          <c:showPercent val="0"/>
          <c:showBubbleSize val="0"/>
        </c:dLbls>
        <c:axId val="2111037000"/>
        <c:axId val="2111029528"/>
      </c:scatterChart>
      <c:valAx>
        <c:axId val="2111037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029528"/>
        <c:crosses val="autoZero"/>
        <c:crossBetween val="midCat"/>
      </c:valAx>
      <c:valAx>
        <c:axId val="2111029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037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36 '!#REF!</c:f>
              <c:numCache>
                <c:formatCode>General</c:formatCode>
                <c:ptCount val="1"/>
                <c:pt idx="0">
                  <c:v>0</c:v>
                </c:pt>
              </c:numCache>
            </c:numRef>
          </c:xVal>
          <c:yVal>
            <c:numRef>
              <c:f>'Chapter 36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36 '!#REF!</c15:sqref>
                        </c15:formulaRef>
                      </c:ext>
                    </c:extLst>
                    <c:strCache>
                      <c:ptCount val="1"/>
                      <c:pt idx="0">
                        <c:v>#REF!</c:v>
                      </c:pt>
                    </c:strCache>
                  </c:strRef>
                </c15:tx>
              </c15:filteredSeriesTitle>
            </c:ext>
            <c:ext xmlns:c16="http://schemas.microsoft.com/office/drawing/2014/chart" uri="{C3380CC4-5D6E-409C-BE32-E72D297353CC}">
              <c16:uniqueId val="{00000000-50EB-42AD-B0C8-1B0E7A5CE4CF}"/>
            </c:ext>
          </c:extLst>
        </c:ser>
        <c:dLbls>
          <c:showLegendKey val="0"/>
          <c:showVal val="0"/>
          <c:showCatName val="0"/>
          <c:showSerName val="0"/>
          <c:showPercent val="0"/>
          <c:showBubbleSize val="0"/>
        </c:dLbls>
        <c:axId val="2110963816"/>
        <c:axId val="2110961784"/>
      </c:scatterChart>
      <c:valAx>
        <c:axId val="2110963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61784"/>
        <c:crosses val="autoZero"/>
        <c:crossBetween val="midCat"/>
      </c:valAx>
      <c:valAx>
        <c:axId val="21109617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63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95951417003999E-2"/>
          <c:y val="6.5088945453915095E-2"/>
          <c:w val="0.66396761133603199"/>
          <c:h val="0.74556428429029997"/>
        </c:manualLayout>
      </c:layout>
      <c:barChart>
        <c:barDir val="col"/>
        <c:grouping val="stacked"/>
        <c:varyColors val="0"/>
        <c:ser>
          <c:idx val="3"/>
          <c:order val="0"/>
          <c:tx>
            <c:strRef>
              <c:f>'Chapter 17'!$D$86</c:f>
              <c:strCache>
                <c:ptCount val="1"/>
                <c:pt idx="0">
                  <c:v>Capital depreciation</c:v>
                </c:pt>
              </c:strCache>
            </c:strRef>
          </c:tx>
          <c:spPr>
            <a:solidFill>
              <a:srgbClr val="CCFFFF"/>
            </a:solidFill>
            <a:ln w="12700">
              <a:solidFill>
                <a:srgbClr val="000000"/>
              </a:solidFill>
              <a:prstDash val="solid"/>
            </a:ln>
          </c:spPr>
          <c:invertIfNegative val="0"/>
          <c:val>
            <c:numRef>
              <c:f>'Chapter 17'!$D$87:$D$90</c:f>
              <c:numCache>
                <c:formatCode>#,##0.00\ _F</c:formatCode>
                <c:ptCount val="4"/>
                <c:pt idx="0">
                  <c:v>25</c:v>
                </c:pt>
                <c:pt idx="1">
                  <c:v>25</c:v>
                </c:pt>
                <c:pt idx="2">
                  <c:v>25</c:v>
                </c:pt>
                <c:pt idx="3">
                  <c:v>25</c:v>
                </c:pt>
              </c:numCache>
            </c:numRef>
          </c:val>
          <c:extLst>
            <c:ext xmlns:c16="http://schemas.microsoft.com/office/drawing/2014/chart" uri="{C3380CC4-5D6E-409C-BE32-E72D297353CC}">
              <c16:uniqueId val="{00000000-6489-4774-9BE8-1277BA40D8D3}"/>
            </c:ext>
          </c:extLst>
        </c:ser>
        <c:ser>
          <c:idx val="4"/>
          <c:order val="1"/>
          <c:tx>
            <c:strRef>
              <c:f>'Chapter 17'!$E$86</c:f>
              <c:strCache>
                <c:ptCount val="1"/>
                <c:pt idx="0">
                  <c:v>Interests</c:v>
                </c:pt>
              </c:strCache>
            </c:strRef>
          </c:tx>
          <c:spPr>
            <a:solidFill>
              <a:srgbClr val="660066"/>
            </a:solidFill>
            <a:ln w="12700">
              <a:solidFill>
                <a:srgbClr val="000000"/>
              </a:solidFill>
              <a:prstDash val="solid"/>
            </a:ln>
          </c:spPr>
          <c:invertIfNegative val="0"/>
          <c:val>
            <c:numRef>
              <c:f>'Chapter 17'!$E$87:$E$90</c:f>
              <c:numCache>
                <c:formatCode>#,##0.00\ _F</c:formatCode>
                <c:ptCount val="4"/>
                <c:pt idx="0">
                  <c:v>7.0000000000000009</c:v>
                </c:pt>
                <c:pt idx="1">
                  <c:v>5.2500000000000009</c:v>
                </c:pt>
                <c:pt idx="2">
                  <c:v>3.5000000000000004</c:v>
                </c:pt>
                <c:pt idx="3">
                  <c:v>1.7500000000000002</c:v>
                </c:pt>
              </c:numCache>
            </c:numRef>
          </c:val>
          <c:extLst>
            <c:ext xmlns:c16="http://schemas.microsoft.com/office/drawing/2014/chart" uri="{C3380CC4-5D6E-409C-BE32-E72D297353CC}">
              <c16:uniqueId val="{00000001-6489-4774-9BE8-1277BA40D8D3}"/>
            </c:ext>
          </c:extLst>
        </c:ser>
        <c:dLbls>
          <c:showLegendKey val="0"/>
          <c:showVal val="0"/>
          <c:showCatName val="0"/>
          <c:showSerName val="0"/>
          <c:showPercent val="0"/>
          <c:showBubbleSize val="0"/>
        </c:dLbls>
        <c:gapWidth val="150"/>
        <c:overlap val="100"/>
        <c:axId val="2112496904"/>
        <c:axId val="2112503080"/>
      </c:barChart>
      <c:catAx>
        <c:axId val="21124969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374493927125506"/>
              <c:y val="0.852073490813648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2503080"/>
        <c:crosses val="autoZero"/>
        <c:auto val="1"/>
        <c:lblAlgn val="ctr"/>
        <c:lblOffset val="100"/>
        <c:tickLblSkip val="1"/>
        <c:tickMarkSkip val="1"/>
        <c:noMultiLvlLbl val="0"/>
      </c:catAx>
      <c:valAx>
        <c:axId val="2112503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121457489878499E-2"/>
              <c:y val="0.40828526611688298"/>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12496904"/>
        <c:crosses val="autoZero"/>
        <c:crossBetween val="between"/>
      </c:valAx>
      <c:spPr>
        <a:solidFill>
          <a:srgbClr val="C0C0C0"/>
        </a:solidFill>
        <a:ln w="12700">
          <a:solidFill>
            <a:srgbClr val="808080"/>
          </a:solidFill>
          <a:prstDash val="solid"/>
        </a:ln>
      </c:spPr>
    </c:plotArea>
    <c:legend>
      <c:legendPos val="r"/>
      <c:layout>
        <c:manualLayout>
          <c:xMode val="edge"/>
          <c:yMode val="edge"/>
          <c:x val="0.75910931174089102"/>
          <c:y val="0.355030828247061"/>
          <c:w val="0.22672064777327899"/>
          <c:h val="0.2307698519933530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36 '!#REF!</c:f>
              <c:numCache>
                <c:formatCode>General</c:formatCode>
                <c:ptCount val="1"/>
                <c:pt idx="0">
                  <c:v>0</c:v>
                </c:pt>
              </c:numCache>
            </c:numRef>
          </c:xVal>
          <c:yVal>
            <c:numRef>
              <c:f>'Chapter 36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36 '!#REF!</c15:sqref>
                        </c15:formulaRef>
                      </c:ext>
                    </c:extLst>
                    <c:strCache>
                      <c:ptCount val="1"/>
                      <c:pt idx="0">
                        <c:v>#REF!</c:v>
                      </c:pt>
                    </c:strCache>
                  </c:strRef>
                </c15:tx>
              </c15:filteredSeriesTitle>
            </c:ext>
            <c:ext xmlns:c16="http://schemas.microsoft.com/office/drawing/2014/chart" uri="{C3380CC4-5D6E-409C-BE32-E72D297353CC}">
              <c16:uniqueId val="{00000000-E2E4-4ED5-B01E-6F45D0AE4A2E}"/>
            </c:ext>
          </c:extLst>
        </c:ser>
        <c:dLbls>
          <c:showLegendKey val="0"/>
          <c:showVal val="0"/>
          <c:showCatName val="0"/>
          <c:showSerName val="0"/>
          <c:showPercent val="0"/>
          <c:showBubbleSize val="0"/>
        </c:dLbls>
        <c:axId val="2110914056"/>
        <c:axId val="2110917080"/>
      </c:scatterChart>
      <c:valAx>
        <c:axId val="2110914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17080"/>
        <c:crosses val="autoZero"/>
        <c:crossBetween val="midCat"/>
      </c:valAx>
      <c:valAx>
        <c:axId val="2110917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9140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37'!#REF!</c:f>
              <c:numCache>
                <c:formatCode>General</c:formatCode>
                <c:ptCount val="1"/>
                <c:pt idx="0">
                  <c:v>0</c:v>
                </c:pt>
              </c:numCache>
            </c:numRef>
          </c:xVal>
          <c:yVal>
            <c:numRef>
              <c:f>'Chapter 37'!#REF!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37'!#REF!</c15:sqref>
                        </c15:formulaRef>
                      </c:ext>
                    </c:extLst>
                    <c:strCache>
                      <c:ptCount val="1"/>
                      <c:pt idx="0">
                        <c:v>#REF!</c:v>
                      </c:pt>
                    </c:strCache>
                  </c:strRef>
                </c15:tx>
              </c15:filteredSeriesTitle>
            </c:ext>
            <c:ext xmlns:c16="http://schemas.microsoft.com/office/drawing/2014/chart" uri="{C3380CC4-5D6E-409C-BE32-E72D297353CC}">
              <c16:uniqueId val="{00000000-8AB9-4851-8F11-94954B6B73BC}"/>
            </c:ext>
          </c:extLst>
        </c:ser>
        <c:dLbls>
          <c:showLegendKey val="0"/>
          <c:showVal val="0"/>
          <c:showCatName val="0"/>
          <c:showSerName val="0"/>
          <c:showPercent val="0"/>
          <c:showBubbleSize val="0"/>
        </c:dLbls>
        <c:axId val="-2133495176"/>
        <c:axId val="-2133492120"/>
      </c:scatterChart>
      <c:valAx>
        <c:axId val="-2133495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492120"/>
        <c:crosses val="autoZero"/>
        <c:crossBetween val="midCat"/>
      </c:valAx>
      <c:valAx>
        <c:axId val="-2133492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495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37'!#REF!</c:f>
              <c:numCache>
                <c:formatCode>General</c:formatCode>
                <c:ptCount val="1"/>
                <c:pt idx="0">
                  <c:v>0</c:v>
                </c:pt>
              </c:numCache>
            </c:numRef>
          </c:xVal>
          <c:yVal>
            <c:numRef>
              <c:f>'Chapter 37'!#REF!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37'!#REF!</c15:sqref>
                        </c15:formulaRef>
                      </c:ext>
                    </c:extLst>
                    <c:strCache>
                      <c:ptCount val="1"/>
                      <c:pt idx="0">
                        <c:v>#REF!</c:v>
                      </c:pt>
                    </c:strCache>
                  </c:strRef>
                </c15:tx>
              </c15:filteredSeriesTitle>
            </c:ext>
            <c:ext xmlns:c16="http://schemas.microsoft.com/office/drawing/2014/chart" uri="{C3380CC4-5D6E-409C-BE32-E72D297353CC}">
              <c16:uniqueId val="{00000000-2FC6-406B-87D5-1FEA4048E2AF}"/>
            </c:ext>
          </c:extLst>
        </c:ser>
        <c:dLbls>
          <c:showLegendKey val="0"/>
          <c:showVal val="0"/>
          <c:showCatName val="0"/>
          <c:showSerName val="0"/>
          <c:showPercent val="0"/>
          <c:showBubbleSize val="0"/>
        </c:dLbls>
        <c:axId val="-2133460760"/>
        <c:axId val="-2133457704"/>
      </c:scatterChart>
      <c:valAx>
        <c:axId val="-2133460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457704"/>
        <c:crosses val="autoZero"/>
        <c:crossBetween val="midCat"/>
      </c:valAx>
      <c:valAx>
        <c:axId val="-2133457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460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38'!#REF!</c:f>
              <c:numCache>
                <c:formatCode>General</c:formatCode>
                <c:ptCount val="1"/>
                <c:pt idx="0">
                  <c:v>0</c:v>
                </c:pt>
              </c:numCache>
            </c:numRef>
          </c:xVal>
          <c:yVal>
            <c:numRef>
              <c:f>'Chapter 38'!#REF!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38'!#REF!</c15:sqref>
                        </c15:formulaRef>
                      </c:ext>
                    </c:extLst>
                    <c:strCache>
                      <c:ptCount val="1"/>
                      <c:pt idx="0">
                        <c:v>#REF!</c:v>
                      </c:pt>
                    </c:strCache>
                  </c:strRef>
                </c15:tx>
              </c15:filteredSeriesTitle>
            </c:ext>
            <c:ext xmlns:c16="http://schemas.microsoft.com/office/drawing/2014/chart" uri="{C3380CC4-5D6E-409C-BE32-E72D297353CC}">
              <c16:uniqueId val="{00000000-9F7D-4B66-BB78-14D8C3AE6A7F}"/>
            </c:ext>
          </c:extLst>
        </c:ser>
        <c:dLbls>
          <c:showLegendKey val="0"/>
          <c:showVal val="0"/>
          <c:showCatName val="0"/>
          <c:showSerName val="0"/>
          <c:showPercent val="0"/>
          <c:showBubbleSize val="0"/>
        </c:dLbls>
        <c:axId val="2113626904"/>
        <c:axId val="2113618040"/>
      </c:scatterChart>
      <c:valAx>
        <c:axId val="211362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618040"/>
        <c:crosses val="autoZero"/>
        <c:crossBetween val="midCat"/>
      </c:valAx>
      <c:valAx>
        <c:axId val="2113618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6269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38'!#REF!</c:f>
              <c:numCache>
                <c:formatCode>General</c:formatCode>
                <c:ptCount val="1"/>
                <c:pt idx="0">
                  <c:v>0</c:v>
                </c:pt>
              </c:numCache>
            </c:numRef>
          </c:xVal>
          <c:yVal>
            <c:numRef>
              <c:f>'Chapter 38'!#REF!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38'!#REF!</c15:sqref>
                        </c15:formulaRef>
                      </c:ext>
                    </c:extLst>
                    <c:strCache>
                      <c:ptCount val="1"/>
                      <c:pt idx="0">
                        <c:v>#REF!</c:v>
                      </c:pt>
                    </c:strCache>
                  </c:strRef>
                </c15:tx>
              </c15:filteredSeriesTitle>
            </c:ext>
            <c:ext xmlns:c16="http://schemas.microsoft.com/office/drawing/2014/chart" uri="{C3380CC4-5D6E-409C-BE32-E72D297353CC}">
              <c16:uniqueId val="{00000000-687A-4E67-B45E-4514FE79F0B2}"/>
            </c:ext>
          </c:extLst>
        </c:ser>
        <c:dLbls>
          <c:showLegendKey val="0"/>
          <c:showVal val="0"/>
          <c:showCatName val="0"/>
          <c:showSerName val="0"/>
          <c:showPercent val="0"/>
          <c:showBubbleSize val="0"/>
        </c:dLbls>
        <c:axId val="2113589304"/>
        <c:axId val="2113584216"/>
      </c:scatterChart>
      <c:valAx>
        <c:axId val="2113589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584216"/>
        <c:crosses val="autoZero"/>
        <c:crossBetween val="midCat"/>
      </c:valAx>
      <c:valAx>
        <c:axId val="2113584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589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39'!#REF!</c:f>
              <c:numCache>
                <c:formatCode>General</c:formatCode>
                <c:ptCount val="1"/>
                <c:pt idx="0">
                  <c:v>0</c:v>
                </c:pt>
              </c:numCache>
            </c:numRef>
          </c:xVal>
          <c:yVal>
            <c:numRef>
              <c:f>' Chapter 39'!#REF!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39'!#REF!</c15:sqref>
                        </c15:formulaRef>
                      </c:ext>
                    </c:extLst>
                    <c:strCache>
                      <c:ptCount val="1"/>
                      <c:pt idx="0">
                        <c:v>#REF!</c:v>
                      </c:pt>
                    </c:strCache>
                  </c:strRef>
                </c15:tx>
              </c15:filteredSeriesTitle>
            </c:ext>
            <c:ext xmlns:c16="http://schemas.microsoft.com/office/drawing/2014/chart" uri="{C3380CC4-5D6E-409C-BE32-E72D297353CC}">
              <c16:uniqueId val="{00000000-DA60-421A-91B2-BD6AA34DD388}"/>
            </c:ext>
          </c:extLst>
        </c:ser>
        <c:dLbls>
          <c:showLegendKey val="0"/>
          <c:showVal val="0"/>
          <c:showCatName val="0"/>
          <c:showSerName val="0"/>
          <c:showPercent val="0"/>
          <c:showBubbleSize val="0"/>
        </c:dLbls>
        <c:axId val="2110868472"/>
        <c:axId val="2110871496"/>
      </c:scatterChart>
      <c:valAx>
        <c:axId val="2110868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871496"/>
        <c:crosses val="autoZero"/>
        <c:crossBetween val="midCat"/>
      </c:valAx>
      <c:valAx>
        <c:axId val="21108714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868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39'!#REF!</c:f>
              <c:numCache>
                <c:formatCode>General</c:formatCode>
                <c:ptCount val="1"/>
                <c:pt idx="0">
                  <c:v>0</c:v>
                </c:pt>
              </c:numCache>
            </c:numRef>
          </c:xVal>
          <c:yVal>
            <c:numRef>
              <c:f>' Chapter 39'!#REF!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 Chapter 39'!#REF!</c15:sqref>
                        </c15:formulaRef>
                      </c:ext>
                    </c:extLst>
                    <c:strCache>
                      <c:ptCount val="1"/>
                      <c:pt idx="0">
                        <c:v>#REF!</c:v>
                      </c:pt>
                    </c:strCache>
                  </c:strRef>
                </c15:tx>
              </c15:filteredSeriesTitle>
            </c:ext>
            <c:ext xmlns:c16="http://schemas.microsoft.com/office/drawing/2014/chart" uri="{C3380CC4-5D6E-409C-BE32-E72D297353CC}">
              <c16:uniqueId val="{00000000-920E-42F2-A1DA-B3C78FC71BE7}"/>
            </c:ext>
          </c:extLst>
        </c:ser>
        <c:dLbls>
          <c:showLegendKey val="0"/>
          <c:showVal val="0"/>
          <c:showCatName val="0"/>
          <c:showSerName val="0"/>
          <c:showPercent val="0"/>
          <c:showBubbleSize val="0"/>
        </c:dLbls>
        <c:axId val="-2132456216"/>
        <c:axId val="-2132453160"/>
      </c:scatterChart>
      <c:valAx>
        <c:axId val="-2132456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2453160"/>
        <c:crosses val="autoZero"/>
        <c:crossBetween val="midCat"/>
      </c:valAx>
      <c:valAx>
        <c:axId val="-2132453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24562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44'!#REF!</c:f>
              <c:numCache>
                <c:formatCode>General</c:formatCode>
                <c:ptCount val="1"/>
                <c:pt idx="0">
                  <c:v>0</c:v>
                </c:pt>
              </c:numCache>
            </c:numRef>
          </c:xVal>
          <c:yVal>
            <c:numRef>
              <c:f>'Chapter 44'!#REF!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44'!#REF!</c15:sqref>
                        </c15:formulaRef>
                      </c:ext>
                    </c:extLst>
                    <c:strCache>
                      <c:ptCount val="1"/>
                      <c:pt idx="0">
                        <c:v>#REF!</c:v>
                      </c:pt>
                    </c:strCache>
                  </c:strRef>
                </c15:tx>
              </c15:filteredSeriesTitle>
            </c:ext>
            <c:ext xmlns:c16="http://schemas.microsoft.com/office/drawing/2014/chart" uri="{C3380CC4-5D6E-409C-BE32-E72D297353CC}">
              <c16:uniqueId val="{00000000-5591-4CA3-B741-DF6E18A6E676}"/>
            </c:ext>
          </c:extLst>
        </c:ser>
        <c:dLbls>
          <c:showLegendKey val="0"/>
          <c:showVal val="0"/>
          <c:showCatName val="0"/>
          <c:showSerName val="0"/>
          <c:showPercent val="0"/>
          <c:showBubbleSize val="0"/>
        </c:dLbls>
        <c:axId val="-2135087368"/>
        <c:axId val="-2135084312"/>
      </c:scatterChart>
      <c:valAx>
        <c:axId val="-2135087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84312"/>
        <c:crosses val="autoZero"/>
        <c:crossBetween val="midCat"/>
      </c:valAx>
      <c:valAx>
        <c:axId val="-21350843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873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44'!#REF!</c:f>
              <c:numCache>
                <c:formatCode>General</c:formatCode>
                <c:ptCount val="1"/>
                <c:pt idx="0">
                  <c:v>0</c:v>
                </c:pt>
              </c:numCache>
            </c:numRef>
          </c:xVal>
          <c:yVal>
            <c:numRef>
              <c:f>'Chapter 44'!#REF!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44'!#REF!</c15:sqref>
                        </c15:formulaRef>
                      </c:ext>
                    </c:extLst>
                    <c:strCache>
                      <c:ptCount val="1"/>
                      <c:pt idx="0">
                        <c:v>#REF!</c:v>
                      </c:pt>
                    </c:strCache>
                  </c:strRef>
                </c15:tx>
              </c15:filteredSeriesTitle>
            </c:ext>
            <c:ext xmlns:c16="http://schemas.microsoft.com/office/drawing/2014/chart" uri="{C3380CC4-5D6E-409C-BE32-E72D297353CC}">
              <c16:uniqueId val="{00000000-FECA-4AD4-802E-55F7C82CF4C8}"/>
            </c:ext>
          </c:extLst>
        </c:ser>
        <c:dLbls>
          <c:showLegendKey val="0"/>
          <c:showVal val="0"/>
          <c:showCatName val="0"/>
          <c:showSerName val="0"/>
          <c:showPercent val="0"/>
          <c:showBubbleSize val="0"/>
        </c:dLbls>
        <c:axId val="-2135051864"/>
        <c:axId val="-2135048808"/>
      </c:scatterChart>
      <c:valAx>
        <c:axId val="-2135051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48808"/>
        <c:crosses val="autoZero"/>
        <c:crossBetween val="midCat"/>
      </c:valAx>
      <c:valAx>
        <c:axId val="-2135048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518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46 '!#REF!</c:f>
              <c:numCache>
                <c:formatCode>General</c:formatCode>
                <c:ptCount val="1"/>
                <c:pt idx="0">
                  <c:v>0</c:v>
                </c:pt>
              </c:numCache>
            </c:numRef>
          </c:xVal>
          <c:yVal>
            <c:numRef>
              <c:f>'Chapter 46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46 '!#REF!</c15:sqref>
                        </c15:formulaRef>
                      </c:ext>
                    </c:extLst>
                    <c:strCache>
                      <c:ptCount val="1"/>
                      <c:pt idx="0">
                        <c:v>#REF!</c:v>
                      </c:pt>
                    </c:strCache>
                  </c:strRef>
                </c15:tx>
              </c15:filteredSeriesTitle>
            </c:ext>
            <c:ext xmlns:c16="http://schemas.microsoft.com/office/drawing/2014/chart" uri="{C3380CC4-5D6E-409C-BE32-E72D297353CC}">
              <c16:uniqueId val="{00000000-C92A-4F3C-9F38-E2BEEC513D01}"/>
            </c:ext>
          </c:extLst>
        </c:ser>
        <c:dLbls>
          <c:showLegendKey val="0"/>
          <c:showVal val="0"/>
          <c:showCatName val="0"/>
          <c:showSerName val="0"/>
          <c:showPercent val="0"/>
          <c:showBubbleSize val="0"/>
        </c:dLbls>
        <c:axId val="-2134729416"/>
        <c:axId val="2110886296"/>
      </c:scatterChart>
      <c:valAx>
        <c:axId val="-2134729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0886296"/>
        <c:crosses val="autoZero"/>
        <c:crossBetween val="midCat"/>
      </c:valAx>
      <c:valAx>
        <c:axId val="21108862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47294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18512620244"/>
          <c:y val="6.0301655498330303E-2"/>
          <c:w val="0.63598391326154902"/>
          <c:h val="0.77889638352009904"/>
        </c:manualLayout>
      </c:layout>
      <c:barChart>
        <c:barDir val="col"/>
        <c:grouping val="stacked"/>
        <c:varyColors val="0"/>
        <c:ser>
          <c:idx val="3"/>
          <c:order val="0"/>
          <c:tx>
            <c:strRef>
              <c:f>'Chapter 17'!$D$101</c:f>
              <c:strCache>
                <c:ptCount val="1"/>
                <c:pt idx="0">
                  <c:v>Capital depreciation</c:v>
                </c:pt>
              </c:strCache>
            </c:strRef>
          </c:tx>
          <c:spPr>
            <a:solidFill>
              <a:srgbClr val="CCFFFF"/>
            </a:solidFill>
            <a:ln w="12700">
              <a:solidFill>
                <a:srgbClr val="000000"/>
              </a:solidFill>
              <a:prstDash val="solid"/>
            </a:ln>
          </c:spPr>
          <c:invertIfNegative val="0"/>
          <c:val>
            <c:numRef>
              <c:f>'Chapter 17'!$D$102:$D$108</c:f>
              <c:numCache>
                <c:formatCode>#,##0.00\ _F</c:formatCode>
                <c:ptCount val="7"/>
                <c:pt idx="0">
                  <c:v>0</c:v>
                </c:pt>
                <c:pt idx="1">
                  <c:v>0</c:v>
                </c:pt>
                <c:pt idx="2">
                  <c:v>79.683633362603715</c:v>
                </c:pt>
                <c:pt idx="3">
                  <c:v>84.863069531172954</c:v>
                </c:pt>
                <c:pt idx="4">
                  <c:v>90.379169050699204</c:v>
                </c:pt>
                <c:pt idx="5">
                  <c:v>96.253815038994645</c:v>
                </c:pt>
                <c:pt idx="6">
                  <c:v>102.5103130165293</c:v>
                </c:pt>
              </c:numCache>
            </c:numRef>
          </c:val>
          <c:extLst>
            <c:ext xmlns:c16="http://schemas.microsoft.com/office/drawing/2014/chart" uri="{C3380CC4-5D6E-409C-BE32-E72D297353CC}">
              <c16:uniqueId val="{00000000-8AB8-4CBA-8E60-69B27F9E2349}"/>
            </c:ext>
          </c:extLst>
        </c:ser>
        <c:ser>
          <c:idx val="4"/>
          <c:order val="1"/>
          <c:tx>
            <c:strRef>
              <c:f>'Chapter 17'!$E$101</c:f>
              <c:strCache>
                <c:ptCount val="1"/>
                <c:pt idx="0">
                  <c:v>Interests</c:v>
                </c:pt>
              </c:strCache>
            </c:strRef>
          </c:tx>
          <c:spPr>
            <a:solidFill>
              <a:srgbClr val="660066"/>
            </a:solidFill>
            <a:ln w="12700">
              <a:solidFill>
                <a:srgbClr val="000000"/>
              </a:solidFill>
              <a:prstDash val="solid"/>
            </a:ln>
          </c:spPr>
          <c:invertIfNegative val="0"/>
          <c:val>
            <c:numRef>
              <c:f>'Chapter 17'!$E$102:$E$108</c:f>
              <c:numCache>
                <c:formatCode>#,##0.00\ _F</c:formatCode>
                <c:ptCount val="7"/>
                <c:pt idx="2">
                  <c:v>29.489850000000001</c:v>
                </c:pt>
                <c:pt idx="3">
                  <c:v>24.310413831430761</c:v>
                </c:pt>
                <c:pt idx="4">
                  <c:v>18.794314311904518</c:v>
                </c:pt>
                <c:pt idx="5">
                  <c:v>12.919668323609072</c:v>
                </c:pt>
                <c:pt idx="6">
                  <c:v>6.6631703460744189</c:v>
                </c:pt>
              </c:numCache>
            </c:numRef>
          </c:val>
          <c:extLst>
            <c:ext xmlns:c16="http://schemas.microsoft.com/office/drawing/2014/chart" uri="{C3380CC4-5D6E-409C-BE32-E72D297353CC}">
              <c16:uniqueId val="{00000001-8AB8-4CBA-8E60-69B27F9E2349}"/>
            </c:ext>
          </c:extLst>
        </c:ser>
        <c:dLbls>
          <c:showLegendKey val="0"/>
          <c:showVal val="0"/>
          <c:showCatName val="0"/>
          <c:showSerName val="0"/>
          <c:showPercent val="0"/>
          <c:showBubbleSize val="0"/>
        </c:dLbls>
        <c:gapWidth val="150"/>
        <c:overlap val="100"/>
        <c:axId val="2112461464"/>
        <c:axId val="2108755384"/>
      </c:barChart>
      <c:catAx>
        <c:axId val="2112461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763599204911102"/>
              <c:y val="0.874373969585459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8755384"/>
        <c:crosses val="autoZero"/>
        <c:auto val="1"/>
        <c:lblAlgn val="ctr"/>
        <c:lblOffset val="100"/>
        <c:tickLblSkip val="1"/>
        <c:tickMarkSkip val="1"/>
        <c:noMultiLvlLbl val="0"/>
      </c:catAx>
      <c:valAx>
        <c:axId val="2108755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60251046025101E-2"/>
              <c:y val="0.42211160790830798"/>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112461464"/>
        <c:crosses val="autoZero"/>
        <c:crossBetween val="between"/>
      </c:valAx>
      <c:spPr>
        <a:solidFill>
          <a:srgbClr val="C0C0C0"/>
        </a:solidFill>
        <a:ln w="12700">
          <a:solidFill>
            <a:srgbClr val="808080"/>
          </a:solidFill>
          <a:prstDash val="solid"/>
        </a:ln>
      </c:spPr>
    </c:plotArea>
    <c:legend>
      <c:legendPos val="r"/>
      <c:layout>
        <c:manualLayout>
          <c:xMode val="edge"/>
          <c:yMode val="edge"/>
          <c:x val="0.74895463380884897"/>
          <c:y val="0.37688547725504201"/>
          <c:w val="0.23430984306878"/>
          <c:h val="0.1959804270697320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46 '!#REF!</c:f>
              <c:numCache>
                <c:formatCode>General</c:formatCode>
                <c:ptCount val="1"/>
                <c:pt idx="0">
                  <c:v>0</c:v>
                </c:pt>
              </c:numCache>
            </c:numRef>
          </c:xVal>
          <c:yVal>
            <c:numRef>
              <c:f>'Chapter 46 '!#REF!</c:f>
              <c:numCache>
                <c:formatCode>General</c:formatCode>
                <c:ptCount val="1"/>
                <c:pt idx="0">
                  <c:v>0</c:v>
                </c:pt>
              </c:numCache>
            </c:numRef>
          </c:yVal>
          <c:smooth val="1"/>
          <c:extLst>
            <c:ext xmlns:c15="http://schemas.microsoft.com/office/drawing/2012/chart" uri="{02D57815-91ED-43cb-92C2-25804820EDAC}">
              <c15:filteredSeriesTitle>
                <c15:tx>
                  <c:strRef>
                    <c:extLst>
                      <c:ext uri="{02D57815-91ED-43cb-92C2-25804820EDAC}">
                        <c15:formulaRef>
                          <c15:sqref>'Chapter 46 '!#REF!</c15:sqref>
                        </c15:formulaRef>
                      </c:ext>
                    </c:extLst>
                    <c:strCache>
                      <c:ptCount val="1"/>
                      <c:pt idx="0">
                        <c:v>#REF!</c:v>
                      </c:pt>
                    </c:strCache>
                  </c:strRef>
                </c15:tx>
              </c15:filteredSeriesTitle>
            </c:ext>
            <c:ext xmlns:c16="http://schemas.microsoft.com/office/drawing/2014/chart" uri="{C3380CC4-5D6E-409C-BE32-E72D297353CC}">
              <c16:uniqueId val="{00000000-E453-44E6-A0D1-F7FB9237A9E2}"/>
            </c:ext>
          </c:extLst>
        </c:ser>
        <c:dLbls>
          <c:showLegendKey val="0"/>
          <c:showVal val="0"/>
          <c:showCatName val="0"/>
          <c:showSerName val="0"/>
          <c:showPercent val="0"/>
          <c:showBubbleSize val="0"/>
        </c:dLbls>
        <c:axId val="-2132382264"/>
        <c:axId val="-2132379208"/>
      </c:scatterChart>
      <c:valAx>
        <c:axId val="-2132382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2379208"/>
        <c:crosses val="autoZero"/>
        <c:crossBetween val="midCat"/>
      </c:valAx>
      <c:valAx>
        <c:axId val="-21323792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2382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1"/>
          <c:extLst>
            <c:ext xmlns:c16="http://schemas.microsoft.com/office/drawing/2014/chart" uri="{C3380CC4-5D6E-409C-BE32-E72D297353CC}">
              <c16:uniqueId val="{00000000-07D7-4462-AFF9-858354C00B2F}"/>
            </c:ext>
          </c:extLst>
        </c:ser>
        <c:dLbls>
          <c:showLegendKey val="0"/>
          <c:showVal val="0"/>
          <c:showCatName val="0"/>
          <c:showSerName val="0"/>
          <c:showPercent val="0"/>
          <c:showBubbleSize val="0"/>
        </c:dLbls>
        <c:axId val="2113411272"/>
        <c:axId val="2113401816"/>
      </c:scatterChart>
      <c:valAx>
        <c:axId val="2113411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401816"/>
        <c:crosses val="autoZero"/>
        <c:crossBetween val="midCat"/>
      </c:valAx>
      <c:valAx>
        <c:axId val="2113401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4112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1"/>
          <c:extLst>
            <c:ext xmlns:c16="http://schemas.microsoft.com/office/drawing/2014/chart" uri="{C3380CC4-5D6E-409C-BE32-E72D297353CC}">
              <c16:uniqueId val="{00000000-A12F-489F-A486-87DE52503B1A}"/>
            </c:ext>
          </c:extLst>
        </c:ser>
        <c:dLbls>
          <c:showLegendKey val="0"/>
          <c:showVal val="0"/>
          <c:showCatName val="0"/>
          <c:showSerName val="0"/>
          <c:showPercent val="0"/>
          <c:showBubbleSize val="0"/>
        </c:dLbls>
        <c:axId val="2113340344"/>
        <c:axId val="2113333464"/>
      </c:scatterChart>
      <c:valAx>
        <c:axId val="2113340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333464"/>
        <c:crosses val="autoZero"/>
        <c:crossBetween val="midCat"/>
      </c:valAx>
      <c:valAx>
        <c:axId val="2113333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340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49'!#REF!</c:f>
              <c:numCache>
                <c:formatCode>General</c:formatCode>
                <c:ptCount val="1"/>
                <c:pt idx="0">
                  <c:v>1</c:v>
                </c:pt>
              </c:numCache>
            </c:numRef>
          </c:xVal>
          <c:yVal>
            <c:numRef>
              <c:f>' Chapter 49'!#REF!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49'!#REF!</c15:sqref>
                        </c15:formulaRef>
                      </c:ext>
                    </c:extLst>
                    <c:strCache>
                      <c:ptCount val="1"/>
                      <c:pt idx="0">
                        <c:v>#REF!</c:v>
                      </c:pt>
                    </c:strCache>
                  </c:strRef>
                </c15:tx>
              </c15:filteredSeriesTitle>
            </c:ext>
            <c:ext xmlns:c16="http://schemas.microsoft.com/office/drawing/2014/chart" uri="{C3380CC4-5D6E-409C-BE32-E72D297353CC}">
              <c16:uniqueId val="{00000000-2D99-4C2D-A4EE-A19CBEA38A74}"/>
            </c:ext>
          </c:extLst>
        </c:ser>
        <c:dLbls>
          <c:showLegendKey val="0"/>
          <c:showVal val="0"/>
          <c:showCatName val="0"/>
          <c:showSerName val="0"/>
          <c:showPercent val="0"/>
          <c:showBubbleSize val="0"/>
        </c:dLbls>
        <c:axId val="2113112296"/>
        <c:axId val="2113109432"/>
      </c:scatterChart>
      <c:valAx>
        <c:axId val="2113112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109432"/>
        <c:crosses val="autoZero"/>
        <c:crossBetween val="midCat"/>
      </c:valAx>
      <c:valAx>
        <c:axId val="21131094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112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49'!#REF!</c:f>
              <c:numCache>
                <c:formatCode>General</c:formatCode>
                <c:ptCount val="1"/>
                <c:pt idx="0">
                  <c:v>1</c:v>
                </c:pt>
              </c:numCache>
            </c:numRef>
          </c:xVal>
          <c:yVal>
            <c:numRef>
              <c:f>' Chapter 49'!#REF!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 Chapter 49'!#REF!</c15:sqref>
                        </c15:formulaRef>
                      </c:ext>
                    </c:extLst>
                    <c:strCache>
                      <c:ptCount val="1"/>
                      <c:pt idx="0">
                        <c:v>#REF!</c:v>
                      </c:pt>
                    </c:strCache>
                  </c:strRef>
                </c15:tx>
              </c15:filteredSeriesTitle>
            </c:ext>
            <c:ext xmlns:c16="http://schemas.microsoft.com/office/drawing/2014/chart" uri="{C3380CC4-5D6E-409C-BE32-E72D297353CC}">
              <c16:uniqueId val="{00000000-E841-437A-8F32-DE90A7618FEE}"/>
            </c:ext>
          </c:extLst>
        </c:ser>
        <c:dLbls>
          <c:showLegendKey val="0"/>
          <c:showVal val="0"/>
          <c:showCatName val="0"/>
          <c:showSerName val="0"/>
          <c:showPercent val="0"/>
          <c:showBubbleSize val="0"/>
        </c:dLbls>
        <c:axId val="2113075720"/>
        <c:axId val="2113068360"/>
      </c:scatterChart>
      <c:valAx>
        <c:axId val="2113075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068360"/>
        <c:crosses val="autoZero"/>
        <c:crossBetween val="midCat"/>
      </c:valAx>
      <c:valAx>
        <c:axId val="2113068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30757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208768267223"/>
          <c:y val="0.06"/>
          <c:w val="0.63674321503131504"/>
          <c:h val="0.78"/>
        </c:manualLayout>
      </c:layout>
      <c:barChart>
        <c:barDir val="col"/>
        <c:grouping val="stacked"/>
        <c:varyColors val="0"/>
        <c:ser>
          <c:idx val="3"/>
          <c:order val="0"/>
          <c:tx>
            <c:strRef>
              <c:f>'Chapter 17'!$D$116</c:f>
              <c:strCache>
                <c:ptCount val="1"/>
                <c:pt idx="0">
                  <c:v>Capital depreciation</c:v>
                </c:pt>
              </c:strCache>
            </c:strRef>
          </c:tx>
          <c:spPr>
            <a:solidFill>
              <a:srgbClr val="CCFFFF"/>
            </a:solidFill>
            <a:ln w="12700">
              <a:solidFill>
                <a:srgbClr val="000000"/>
              </a:solidFill>
              <a:prstDash val="solid"/>
            </a:ln>
          </c:spPr>
          <c:invertIfNegative val="0"/>
          <c:val>
            <c:numRef>
              <c:f>'Chapter 17'!$D$117:$D$123</c:f>
              <c:numCache>
                <c:formatCode>#,##0.00\ _F</c:formatCode>
                <c:ptCount val="7"/>
                <c:pt idx="2">
                  <c:v>90.738</c:v>
                </c:pt>
                <c:pt idx="3">
                  <c:v>90.738</c:v>
                </c:pt>
                <c:pt idx="4">
                  <c:v>90.738</c:v>
                </c:pt>
                <c:pt idx="5">
                  <c:v>90.738</c:v>
                </c:pt>
                <c:pt idx="6">
                  <c:v>90.738</c:v>
                </c:pt>
              </c:numCache>
            </c:numRef>
          </c:val>
          <c:extLst>
            <c:ext xmlns:c16="http://schemas.microsoft.com/office/drawing/2014/chart" uri="{C3380CC4-5D6E-409C-BE32-E72D297353CC}">
              <c16:uniqueId val="{00000000-948E-4C7C-9693-AA537D36B0FF}"/>
            </c:ext>
          </c:extLst>
        </c:ser>
        <c:ser>
          <c:idx val="4"/>
          <c:order val="1"/>
          <c:tx>
            <c:strRef>
              <c:f>'Chapter 17'!$E$116</c:f>
              <c:strCache>
                <c:ptCount val="1"/>
                <c:pt idx="0">
                  <c:v>Interests</c:v>
                </c:pt>
              </c:strCache>
            </c:strRef>
          </c:tx>
          <c:spPr>
            <a:solidFill>
              <a:srgbClr val="660066"/>
            </a:solidFill>
            <a:ln w="12700">
              <a:solidFill>
                <a:srgbClr val="000000"/>
              </a:solidFill>
              <a:prstDash val="solid"/>
            </a:ln>
          </c:spPr>
          <c:invertIfNegative val="0"/>
          <c:val>
            <c:numRef>
              <c:f>'Chapter 17'!$E$117:$E$123</c:f>
              <c:numCache>
                <c:formatCode>#,##0.00\ _F</c:formatCode>
                <c:ptCount val="7"/>
                <c:pt idx="2">
                  <c:v>29.489850000000001</c:v>
                </c:pt>
                <c:pt idx="3">
                  <c:v>23.59188</c:v>
                </c:pt>
                <c:pt idx="4">
                  <c:v>17.693909999999999</c:v>
                </c:pt>
                <c:pt idx="5">
                  <c:v>11.79594</c:v>
                </c:pt>
                <c:pt idx="6">
                  <c:v>5.8979699999999999</c:v>
                </c:pt>
              </c:numCache>
            </c:numRef>
          </c:val>
          <c:extLst>
            <c:ext xmlns:c16="http://schemas.microsoft.com/office/drawing/2014/chart" uri="{C3380CC4-5D6E-409C-BE32-E72D297353CC}">
              <c16:uniqueId val="{00000001-948E-4C7C-9693-AA537D36B0FF}"/>
            </c:ext>
          </c:extLst>
        </c:ser>
        <c:dLbls>
          <c:showLegendKey val="0"/>
          <c:showVal val="0"/>
          <c:showCatName val="0"/>
          <c:showSerName val="0"/>
          <c:showPercent val="0"/>
          <c:showBubbleSize val="0"/>
        </c:dLbls>
        <c:gapWidth val="150"/>
        <c:overlap val="100"/>
        <c:axId val="-2137447144"/>
        <c:axId val="-2137455880"/>
      </c:barChart>
      <c:catAx>
        <c:axId val="-21374471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76200417536534504"/>
              <c:y val="0.8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455880"/>
        <c:crosses val="autoZero"/>
        <c:auto val="1"/>
        <c:lblAlgn val="ctr"/>
        <c:lblOffset val="100"/>
        <c:tickLblSkip val="1"/>
        <c:tickMarkSkip val="1"/>
        <c:noMultiLvlLbl val="0"/>
      </c:catAx>
      <c:valAx>
        <c:axId val="-2137455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384133611691E-2"/>
              <c:y val="0.42499999999999999"/>
            </c:manualLayout>
          </c:layout>
          <c:overlay val="0"/>
          <c:spPr>
            <a:noFill/>
            <a:ln w="25400">
              <a:noFill/>
            </a:ln>
          </c:spPr>
        </c:title>
        <c:numFmt formatCode="#,##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137447144"/>
        <c:crosses val="autoZero"/>
        <c:crossBetween val="between"/>
      </c:valAx>
      <c:spPr>
        <a:solidFill>
          <a:srgbClr val="C0C0C0"/>
        </a:solidFill>
        <a:ln w="12700">
          <a:solidFill>
            <a:srgbClr val="808080"/>
          </a:solidFill>
          <a:prstDash val="solid"/>
        </a:ln>
      </c:spPr>
    </c:plotArea>
    <c:legend>
      <c:legendPos val="r"/>
      <c:layout>
        <c:manualLayout>
          <c:xMode val="edge"/>
          <c:yMode val="edge"/>
          <c:x val="0.74947807933194099"/>
          <c:y val="0.38"/>
          <c:w val="0.23382045929018799"/>
          <c:h val="0.1950000000000000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Portfolio H,E</a:t>
            </a:r>
          </a:p>
        </c:rich>
      </c:tx>
      <c:layout>
        <c:manualLayout>
          <c:xMode val="edge"/>
          <c:yMode val="edge"/>
          <c:x val="0.415913580422699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'Chapter 18'!$A$54</c:f>
              <c:strCache>
                <c:ptCount val="1"/>
                <c:pt idx="0">
                  <c:v>E(r H,E)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18'!$B$53:$L$53</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'Chapter 18'!$B$54:$L$54</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c:ext xmlns:c16="http://schemas.microsoft.com/office/drawing/2014/chart" uri="{C3380CC4-5D6E-409C-BE32-E72D297353CC}">
              <c16:uniqueId val="{00000000-7698-4848-8395-5C56DCEEB5BB}"/>
            </c:ext>
          </c:extLst>
        </c:ser>
        <c:dLbls>
          <c:showLegendKey val="0"/>
          <c:showVal val="0"/>
          <c:showCatName val="0"/>
          <c:showSerName val="0"/>
          <c:showPercent val="0"/>
          <c:showBubbleSize val="0"/>
        </c:dLbls>
        <c:axId val="-2137420104"/>
        <c:axId val="-2137066984"/>
      </c:scatterChart>
      <c:valAx>
        <c:axId val="-213742010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H,E</a:t>
                </a:r>
              </a:p>
            </c:rich>
          </c:tx>
          <c:layout>
            <c:manualLayout>
              <c:xMode val="edge"/>
              <c:yMode val="edge"/>
              <c:x val="0.52079603973553901"/>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137066984"/>
        <c:crosses val="autoZero"/>
        <c:crossBetween val="midCat"/>
      </c:valAx>
      <c:valAx>
        <c:axId val="-213706698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H,E)</a:t>
                </a:r>
              </a:p>
            </c:rich>
          </c:tx>
          <c:layout>
            <c:manualLayout>
              <c:xMode val="edge"/>
              <c:yMode val="edge"/>
              <c:x val="2.8933092224231498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1374201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379310344827602"/>
          <c:y val="3.636363636363639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'Chapter 18'!$A$83</c:f>
              <c:strCache>
                <c:ptCount val="1"/>
                <c:pt idx="0">
                  <c:v>Expected return</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18'!$C$82:$H$82</c:f>
              <c:numCache>
                <c:formatCode>0.00%</c:formatCode>
                <c:ptCount val="6"/>
                <c:pt idx="0">
                  <c:v>0.15</c:v>
                </c:pt>
                <c:pt idx="1">
                  <c:v>0.14523687548277814</c:v>
                </c:pt>
                <c:pt idx="2">
                  <c:v>0.15</c:v>
                </c:pt>
                <c:pt idx="3">
                  <c:v>0.18371173070873834</c:v>
                </c:pt>
                <c:pt idx="4">
                  <c:v>0.23717082451262844</c:v>
                </c:pt>
                <c:pt idx="5">
                  <c:v>0.3</c:v>
                </c:pt>
              </c:numCache>
            </c:numRef>
          </c:xVal>
          <c:yVal>
            <c:numRef>
              <c:f>'Chapter 18'!$C$83:$H$83</c:f>
              <c:numCache>
                <c:formatCode>0.00%</c:formatCode>
                <c:ptCount val="6"/>
                <c:pt idx="0">
                  <c:v>0.1</c:v>
                </c:pt>
                <c:pt idx="1">
                  <c:v>0.11250000000000002</c:v>
                </c:pt>
                <c:pt idx="2">
                  <c:v>0.125</c:v>
                </c:pt>
                <c:pt idx="3">
                  <c:v>0.15000000000000002</c:v>
                </c:pt>
                <c:pt idx="4">
                  <c:v>0.17500000000000002</c:v>
                </c:pt>
                <c:pt idx="5">
                  <c:v>0.2</c:v>
                </c:pt>
              </c:numCache>
            </c:numRef>
          </c:yVal>
          <c:smooth val="1"/>
          <c:extLst>
            <c:ext xmlns:c16="http://schemas.microsoft.com/office/drawing/2014/chart" uri="{C3380CC4-5D6E-409C-BE32-E72D297353CC}">
              <c16:uniqueId val="{00000000-CD63-4F0D-B9A1-FAD980E33110}"/>
            </c:ext>
          </c:extLst>
        </c:ser>
        <c:dLbls>
          <c:showLegendKey val="0"/>
          <c:showVal val="0"/>
          <c:showCatName val="0"/>
          <c:showSerName val="0"/>
          <c:showPercent val="0"/>
          <c:showBubbleSize val="0"/>
        </c:dLbls>
        <c:axId val="-2138162600"/>
        <c:axId val="-2137895752"/>
      </c:scatterChart>
      <c:valAx>
        <c:axId val="-21381626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Standard deviation</a:t>
                </a:r>
              </a:p>
            </c:rich>
          </c:tx>
          <c:layout>
            <c:manualLayout>
              <c:xMode val="edge"/>
              <c:yMode val="edge"/>
              <c:x val="0.43920145190562598"/>
              <c:y val="0.8618181818181820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37895752"/>
        <c:crosses val="autoZero"/>
        <c:crossBetween val="midCat"/>
      </c:valAx>
      <c:valAx>
        <c:axId val="-21378957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Expected return</a:t>
                </a:r>
              </a:p>
            </c:rich>
          </c:tx>
          <c:layout>
            <c:manualLayout>
              <c:xMode val="edge"/>
              <c:yMode val="edge"/>
              <c:x val="2.9038112522686E-2"/>
              <c:y val="0.29454545454545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381626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19'!#REF!</c:f>
              <c:numCache>
                <c:formatCode>General</c:formatCode>
                <c:ptCount val="1"/>
                <c:pt idx="0">
                  <c:v>1</c:v>
                </c:pt>
              </c:numCache>
            </c:numRef>
          </c:xVal>
          <c:yVal>
            <c:numRef>
              <c:f>'Chapter 19'!#REF!</c:f>
              <c:numCache>
                <c:formatCode>General</c:formatCode>
                <c:ptCount val="1"/>
                <c:pt idx="0">
                  <c:v>1</c:v>
                </c:pt>
              </c:numCache>
            </c:numRef>
          </c:yVal>
          <c:smooth val="1"/>
          <c:extLst>
            <c:ext xmlns:c15="http://schemas.microsoft.com/office/drawing/2012/chart" uri="{02D57815-91ED-43cb-92C2-25804820EDAC}">
              <c15:filteredSeriesTitle>
                <c15:tx>
                  <c:strRef>
                    <c:extLst>
                      <c:ext uri="{02D57815-91ED-43cb-92C2-25804820EDAC}">
                        <c15:formulaRef>
                          <c15:sqref>'Chapter 19'!#REF!</c15:sqref>
                        </c15:formulaRef>
                      </c:ext>
                    </c:extLst>
                    <c:strCache>
                      <c:ptCount val="1"/>
                      <c:pt idx="0">
                        <c:v>#REF!</c:v>
                      </c:pt>
                    </c:strCache>
                  </c:strRef>
                </c15:tx>
              </c15:filteredSeriesTitle>
            </c:ext>
            <c:ext xmlns:c16="http://schemas.microsoft.com/office/drawing/2014/chart" uri="{C3380CC4-5D6E-409C-BE32-E72D297353CC}">
              <c16:uniqueId val="{00000000-CE58-455A-B7A9-DBCDCBD2932F}"/>
            </c:ext>
          </c:extLst>
        </c:ser>
        <c:dLbls>
          <c:showLegendKey val="0"/>
          <c:showVal val="0"/>
          <c:showCatName val="0"/>
          <c:showSerName val="0"/>
          <c:showPercent val="0"/>
          <c:showBubbleSize val="0"/>
        </c:dLbls>
        <c:axId val="-2137401048"/>
        <c:axId val="-2139089800"/>
      </c:scatterChart>
      <c:valAx>
        <c:axId val="-213740104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50" b="1" i="0" u="none" strike="noStrike" baseline="0">
                    <a:solidFill>
                      <a:srgbClr val="000000"/>
                    </a:solidFill>
                    <a:latin typeface="Arial"/>
                    <a:cs typeface="Arial"/>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9089800"/>
        <c:crosses val="autoZero"/>
        <c:crossBetween val="midCat"/>
      </c:valAx>
      <c:valAx>
        <c:axId val="-2139089800"/>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74010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352426</xdr:colOff>
      <xdr:row>20</xdr:row>
      <xdr:rowOff>0</xdr:rowOff>
    </xdr:from>
    <xdr:to>
      <xdr:col>8</xdr:col>
      <xdr:colOff>428626</xdr:colOff>
      <xdr:row>22</xdr:row>
      <xdr:rowOff>76200</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4171951" y="3238500"/>
          <a:ext cx="3238500" cy="400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Verdana"/>
              <a:ea typeface="Verdana"/>
              <a:cs typeface="Verdana"/>
            </a:rPr>
            <a:t>M owns 80% of S: full consolidation</a:t>
          </a:r>
        </a:p>
        <a:p>
          <a:pPr algn="l" rtl="0">
            <a:defRPr sz="1000"/>
          </a:pPr>
          <a:r>
            <a:rPr lang="fr-FR" sz="1000" b="0" i="0" u="none" strike="noStrike" baseline="0">
              <a:solidFill>
                <a:srgbClr val="000000"/>
              </a:solidFill>
              <a:latin typeface="Verdana"/>
              <a:ea typeface="Verdana"/>
              <a:cs typeface="Verdana"/>
            </a:rPr>
            <a:t>M owns 20% of S: equity method of accounting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a:extLst>
            <a:ext uri="{FF2B5EF4-FFF2-40B4-BE49-F238E27FC236}">
              <a16:creationId xmlns:a16="http://schemas.microsoft.com/office/drawing/2014/main" id="{00000000-0008-0000-1500-000001B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a:extLst>
            <a:ext uri="{FF2B5EF4-FFF2-40B4-BE49-F238E27FC236}">
              <a16:creationId xmlns:a16="http://schemas.microsoft.com/office/drawing/2014/main" id="{00000000-0008-0000-1500-000002B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a:extLst>
            <a:ext uri="{FF2B5EF4-FFF2-40B4-BE49-F238E27FC236}">
              <a16:creationId xmlns:a16="http://schemas.microsoft.com/office/drawing/2014/main" id="{00000000-0008-0000-1500-000003B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507" name="Graphique 4">
          <a:extLst>
            <a:ext uri="{FF2B5EF4-FFF2-40B4-BE49-F238E27FC236}">
              <a16:creationId xmlns:a16="http://schemas.microsoft.com/office/drawing/2014/main" id="{00000000-0008-0000-1500-00007B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508" name="Graphique 5">
          <a:extLst>
            <a:ext uri="{FF2B5EF4-FFF2-40B4-BE49-F238E27FC236}">
              <a16:creationId xmlns:a16="http://schemas.microsoft.com/office/drawing/2014/main" id="{00000000-0008-0000-1500-00007C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5297" name="Text Box 1">
          <a:extLst>
            <a:ext uri="{FF2B5EF4-FFF2-40B4-BE49-F238E27FC236}">
              <a16:creationId xmlns:a16="http://schemas.microsoft.com/office/drawing/2014/main" id="{00000000-0008-0000-1600-000001D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5298" name="Text Box 2">
          <a:extLst>
            <a:ext uri="{FF2B5EF4-FFF2-40B4-BE49-F238E27FC236}">
              <a16:creationId xmlns:a16="http://schemas.microsoft.com/office/drawing/2014/main" id="{00000000-0008-0000-1600-000002D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5299" name="Text Box 3">
          <a:extLst>
            <a:ext uri="{FF2B5EF4-FFF2-40B4-BE49-F238E27FC236}">
              <a16:creationId xmlns:a16="http://schemas.microsoft.com/office/drawing/2014/main" id="{00000000-0008-0000-1600-000003D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6085" name="Graphique 4">
          <a:extLst>
            <a:ext uri="{FF2B5EF4-FFF2-40B4-BE49-F238E27FC236}">
              <a16:creationId xmlns:a16="http://schemas.microsoft.com/office/drawing/2014/main" id="{00000000-0008-0000-1600-000015D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6086" name="Graphique 5">
          <a:extLst>
            <a:ext uri="{FF2B5EF4-FFF2-40B4-BE49-F238E27FC236}">
              <a16:creationId xmlns:a16="http://schemas.microsoft.com/office/drawing/2014/main" id="{00000000-0008-0000-1600-000016D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195</xdr:row>
      <xdr:rowOff>85725</xdr:rowOff>
    </xdr:from>
    <xdr:to>
      <xdr:col>8</xdr:col>
      <xdr:colOff>723900</xdr:colOff>
      <xdr:row>208</xdr:row>
      <xdr:rowOff>142875</xdr:rowOff>
    </xdr:to>
    <xdr:graphicFrame macro="">
      <xdr:nvGraphicFramePr>
        <xdr:cNvPr id="56087" name="Graphique 8">
          <a:extLst>
            <a:ext uri="{FF2B5EF4-FFF2-40B4-BE49-F238E27FC236}">
              <a16:creationId xmlns:a16="http://schemas.microsoft.com/office/drawing/2014/main" id="{00000000-0008-0000-1600-000017D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104775</xdr:colOff>
      <xdr:row>246</xdr:row>
      <xdr:rowOff>85725</xdr:rowOff>
    </xdr:from>
    <xdr:to>
      <xdr:col>6</xdr:col>
      <xdr:colOff>85725</xdr:colOff>
      <xdr:row>261</xdr:row>
      <xdr:rowOff>133350</xdr:rowOff>
    </xdr:to>
    <xdr:graphicFrame macro="">
      <xdr:nvGraphicFramePr>
        <xdr:cNvPr id="56088" name="Graphique 9">
          <a:extLst>
            <a:ext uri="{FF2B5EF4-FFF2-40B4-BE49-F238E27FC236}">
              <a16:creationId xmlns:a16="http://schemas.microsoft.com/office/drawing/2014/main" id="{00000000-0008-0000-1600-000018D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116</xdr:row>
      <xdr:rowOff>152400</xdr:rowOff>
    </xdr:from>
    <xdr:to>
      <xdr:col>5</xdr:col>
      <xdr:colOff>266700</xdr:colOff>
      <xdr:row>121</xdr:row>
      <xdr:rowOff>47625</xdr:rowOff>
    </xdr:to>
    <xdr:sp macro="" textlink="">
      <xdr:nvSpPr>
        <xdr:cNvPr id="55307" name="Text Box 11">
          <a:extLst>
            <a:ext uri="{FF2B5EF4-FFF2-40B4-BE49-F238E27FC236}">
              <a16:creationId xmlns:a16="http://schemas.microsoft.com/office/drawing/2014/main" id="{00000000-0008-0000-1600-00000BD80000}"/>
            </a:ext>
          </a:extLst>
        </xdr:cNvPr>
        <xdr:cNvSpPr txBox="1">
          <a:spLocks noChangeArrowheads="1"/>
        </xdr:cNvSpPr>
      </xdr:nvSpPr>
      <xdr:spPr bwMode="auto">
        <a:xfrm>
          <a:off x="2771775" y="22774275"/>
          <a:ext cx="28098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ea typeface="Verdana"/>
              <a:cs typeface="Verdana"/>
            </a:rPr>
            <a:t>Note:</a:t>
          </a:r>
          <a:r>
            <a:rPr lang="fr-FR" sz="800" b="1" i="0" u="none" strike="noStrike" baseline="0">
              <a:solidFill>
                <a:srgbClr val="000000"/>
              </a:solidFill>
              <a:latin typeface="Verdana"/>
              <a:ea typeface="Verdana"/>
              <a:cs typeface="Verdana"/>
            </a:rPr>
            <a:t> As the building of the parking facility lasted 1 year, the operating activity only started the second year. Thus, this annual income statement is considered as a reference for the following years of activity.</a:t>
          </a:r>
        </a:p>
      </xdr:txBody>
    </xdr:sp>
    <xdr:clientData/>
  </xdr:twoCellAnchor>
  <xdr:twoCellAnchor>
    <xdr:from>
      <xdr:col>0</xdr:col>
      <xdr:colOff>104775</xdr:colOff>
      <xdr:row>281</xdr:row>
      <xdr:rowOff>85725</xdr:rowOff>
    </xdr:from>
    <xdr:to>
      <xdr:col>6</xdr:col>
      <xdr:colOff>85725</xdr:colOff>
      <xdr:row>296</xdr:row>
      <xdr:rowOff>133350</xdr:rowOff>
    </xdr:to>
    <xdr:graphicFrame macro="">
      <xdr:nvGraphicFramePr>
        <xdr:cNvPr id="56090" name="Graphique 13">
          <a:extLst>
            <a:ext uri="{FF2B5EF4-FFF2-40B4-BE49-F238E27FC236}">
              <a16:creationId xmlns:a16="http://schemas.microsoft.com/office/drawing/2014/main" id="{00000000-0008-0000-1600-00001AD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a:extLst>
            <a:ext uri="{FF2B5EF4-FFF2-40B4-BE49-F238E27FC236}">
              <a16:creationId xmlns:a16="http://schemas.microsoft.com/office/drawing/2014/main" id="{00000000-0008-0000-1700-0000017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a:extLst>
            <a:ext uri="{FF2B5EF4-FFF2-40B4-BE49-F238E27FC236}">
              <a16:creationId xmlns:a16="http://schemas.microsoft.com/office/drawing/2014/main" id="{00000000-0008-0000-1700-0000027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a:extLst>
            <a:ext uri="{FF2B5EF4-FFF2-40B4-BE49-F238E27FC236}">
              <a16:creationId xmlns:a16="http://schemas.microsoft.com/office/drawing/2014/main" id="{00000000-0008-0000-1700-0000037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081" name="Graphique 4">
          <a:extLst>
            <a:ext uri="{FF2B5EF4-FFF2-40B4-BE49-F238E27FC236}">
              <a16:creationId xmlns:a16="http://schemas.microsoft.com/office/drawing/2014/main" id="{00000000-0008-0000-1700-000051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082" name="Graphique 5">
          <a:extLst>
            <a:ext uri="{FF2B5EF4-FFF2-40B4-BE49-F238E27FC236}">
              <a16:creationId xmlns:a16="http://schemas.microsoft.com/office/drawing/2014/main" id="{00000000-0008-0000-1700-000052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a:extLst>
            <a:ext uri="{FF2B5EF4-FFF2-40B4-BE49-F238E27FC236}">
              <a16:creationId xmlns:a16="http://schemas.microsoft.com/office/drawing/2014/main" id="{00000000-0008-0000-1800-0000018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a:extLst>
            <a:ext uri="{FF2B5EF4-FFF2-40B4-BE49-F238E27FC236}">
              <a16:creationId xmlns:a16="http://schemas.microsoft.com/office/drawing/2014/main" id="{00000000-0008-0000-1800-0000028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a:extLst>
            <a:ext uri="{FF2B5EF4-FFF2-40B4-BE49-F238E27FC236}">
              <a16:creationId xmlns:a16="http://schemas.microsoft.com/office/drawing/2014/main" id="{00000000-0008-0000-1800-0000038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102" name="Graphique 4">
          <a:extLst>
            <a:ext uri="{FF2B5EF4-FFF2-40B4-BE49-F238E27FC236}">
              <a16:creationId xmlns:a16="http://schemas.microsoft.com/office/drawing/2014/main" id="{00000000-0008-0000-1800-00004E8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103" name="Graphique 5">
          <a:extLst>
            <a:ext uri="{FF2B5EF4-FFF2-40B4-BE49-F238E27FC236}">
              <a16:creationId xmlns:a16="http://schemas.microsoft.com/office/drawing/2014/main" id="{00000000-0008-0000-1800-00004F8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a:extLst>
            <a:ext uri="{FF2B5EF4-FFF2-40B4-BE49-F238E27FC236}">
              <a16:creationId xmlns:a16="http://schemas.microsoft.com/office/drawing/2014/main" id="{00000000-0008-0000-1900-0000019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a:extLst>
            <a:ext uri="{FF2B5EF4-FFF2-40B4-BE49-F238E27FC236}">
              <a16:creationId xmlns:a16="http://schemas.microsoft.com/office/drawing/2014/main" id="{00000000-0008-0000-1900-0000029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a:extLst>
            <a:ext uri="{FF2B5EF4-FFF2-40B4-BE49-F238E27FC236}">
              <a16:creationId xmlns:a16="http://schemas.microsoft.com/office/drawing/2014/main" id="{00000000-0008-0000-1900-0000039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326" name="Graphique 4">
          <a:extLst>
            <a:ext uri="{FF2B5EF4-FFF2-40B4-BE49-F238E27FC236}">
              <a16:creationId xmlns:a16="http://schemas.microsoft.com/office/drawing/2014/main" id="{00000000-0008-0000-1900-0000869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327" name="Graphique 5">
          <a:extLst>
            <a:ext uri="{FF2B5EF4-FFF2-40B4-BE49-F238E27FC236}">
              <a16:creationId xmlns:a16="http://schemas.microsoft.com/office/drawing/2014/main" id="{00000000-0008-0000-1900-0000879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a:extLst>
            <a:ext uri="{FF2B5EF4-FFF2-40B4-BE49-F238E27FC236}">
              <a16:creationId xmlns:a16="http://schemas.microsoft.com/office/drawing/2014/main" id="{00000000-0008-0000-1A00-0000016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a:extLst>
            <a:ext uri="{FF2B5EF4-FFF2-40B4-BE49-F238E27FC236}">
              <a16:creationId xmlns:a16="http://schemas.microsoft.com/office/drawing/2014/main" id="{00000000-0008-0000-1A00-0000026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a:extLst>
            <a:ext uri="{FF2B5EF4-FFF2-40B4-BE49-F238E27FC236}">
              <a16:creationId xmlns:a16="http://schemas.microsoft.com/office/drawing/2014/main" id="{00000000-0008-0000-1A00-0000036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988" name="Graphique 4">
          <a:extLst>
            <a:ext uri="{FF2B5EF4-FFF2-40B4-BE49-F238E27FC236}">
              <a16:creationId xmlns:a16="http://schemas.microsoft.com/office/drawing/2014/main" id="{00000000-0008-0000-1A00-0000546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989" name="Graphique 5">
          <a:extLst>
            <a:ext uri="{FF2B5EF4-FFF2-40B4-BE49-F238E27FC236}">
              <a16:creationId xmlns:a16="http://schemas.microsoft.com/office/drawing/2014/main" id="{00000000-0008-0000-1A00-0000556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673" name="Text Box 1">
          <a:extLst>
            <a:ext uri="{FF2B5EF4-FFF2-40B4-BE49-F238E27FC236}">
              <a16:creationId xmlns:a16="http://schemas.microsoft.com/office/drawing/2014/main" id="{00000000-0008-0000-1B00-0000017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4" name="Text Box 2">
          <a:extLst>
            <a:ext uri="{FF2B5EF4-FFF2-40B4-BE49-F238E27FC236}">
              <a16:creationId xmlns:a16="http://schemas.microsoft.com/office/drawing/2014/main" id="{00000000-0008-0000-1B00-0000027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5" name="Text Box 3">
          <a:extLst>
            <a:ext uri="{FF2B5EF4-FFF2-40B4-BE49-F238E27FC236}">
              <a16:creationId xmlns:a16="http://schemas.microsoft.com/office/drawing/2014/main" id="{00000000-0008-0000-1B00-0000037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9079" name="Graphique 4">
          <a:extLst>
            <a:ext uri="{FF2B5EF4-FFF2-40B4-BE49-F238E27FC236}">
              <a16:creationId xmlns:a16="http://schemas.microsoft.com/office/drawing/2014/main" id="{00000000-0008-0000-1B00-0000977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9080" name="Graphique 5">
          <a:extLst>
            <a:ext uri="{FF2B5EF4-FFF2-40B4-BE49-F238E27FC236}">
              <a16:creationId xmlns:a16="http://schemas.microsoft.com/office/drawing/2014/main" id="{00000000-0008-0000-1B00-0000987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55</xdr:row>
      <xdr:rowOff>0</xdr:rowOff>
    </xdr:from>
    <xdr:to>
      <xdr:col>6</xdr:col>
      <xdr:colOff>0</xdr:colOff>
      <xdr:row>55</xdr:row>
      <xdr:rowOff>0</xdr:rowOff>
    </xdr:to>
    <xdr:graphicFrame macro="">
      <xdr:nvGraphicFramePr>
        <xdr:cNvPr id="29081" name="Graphique 7">
          <a:extLst>
            <a:ext uri="{FF2B5EF4-FFF2-40B4-BE49-F238E27FC236}">
              <a16:creationId xmlns:a16="http://schemas.microsoft.com/office/drawing/2014/main" id="{00000000-0008-0000-1B00-0000997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a:extLst>
            <a:ext uri="{FF2B5EF4-FFF2-40B4-BE49-F238E27FC236}">
              <a16:creationId xmlns:a16="http://schemas.microsoft.com/office/drawing/2014/main" id="{00000000-0008-0000-1C00-0000017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a:extLst>
            <a:ext uri="{FF2B5EF4-FFF2-40B4-BE49-F238E27FC236}">
              <a16:creationId xmlns:a16="http://schemas.microsoft.com/office/drawing/2014/main" id="{00000000-0008-0000-1C00-0000027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a:extLst>
            <a:ext uri="{FF2B5EF4-FFF2-40B4-BE49-F238E27FC236}">
              <a16:creationId xmlns:a16="http://schemas.microsoft.com/office/drawing/2014/main" id="{00000000-0008-0000-1C00-0000037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033" name="Graphique 4">
          <a:extLst>
            <a:ext uri="{FF2B5EF4-FFF2-40B4-BE49-F238E27FC236}">
              <a16:creationId xmlns:a16="http://schemas.microsoft.com/office/drawing/2014/main" id="{00000000-0008-0000-1C00-0000517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034" name="Graphique 5">
          <a:extLst>
            <a:ext uri="{FF2B5EF4-FFF2-40B4-BE49-F238E27FC236}">
              <a16:creationId xmlns:a16="http://schemas.microsoft.com/office/drawing/2014/main" id="{00000000-0008-0000-1C00-0000527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a:extLst>
            <a:ext uri="{FF2B5EF4-FFF2-40B4-BE49-F238E27FC236}">
              <a16:creationId xmlns:a16="http://schemas.microsoft.com/office/drawing/2014/main" id="{00000000-0008-0000-1D00-0000019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a:extLst>
            <a:ext uri="{FF2B5EF4-FFF2-40B4-BE49-F238E27FC236}">
              <a16:creationId xmlns:a16="http://schemas.microsoft.com/office/drawing/2014/main" id="{00000000-0008-0000-1D00-0000029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a:extLst>
            <a:ext uri="{FF2B5EF4-FFF2-40B4-BE49-F238E27FC236}">
              <a16:creationId xmlns:a16="http://schemas.microsoft.com/office/drawing/2014/main" id="{00000000-0008-0000-1D00-0000039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246" name="Graphique 4">
          <a:extLst>
            <a:ext uri="{FF2B5EF4-FFF2-40B4-BE49-F238E27FC236}">
              <a16:creationId xmlns:a16="http://schemas.microsoft.com/office/drawing/2014/main" id="{00000000-0008-0000-1D00-00004E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247" name="Graphique 5">
          <a:extLst>
            <a:ext uri="{FF2B5EF4-FFF2-40B4-BE49-F238E27FC236}">
              <a16:creationId xmlns:a16="http://schemas.microsoft.com/office/drawing/2014/main" id="{00000000-0008-0000-1D00-00004F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a:extLst>
            <a:ext uri="{FF2B5EF4-FFF2-40B4-BE49-F238E27FC236}">
              <a16:creationId xmlns:a16="http://schemas.microsoft.com/office/drawing/2014/main" id="{00000000-0008-0000-1E00-0000018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a:extLst>
            <a:ext uri="{FF2B5EF4-FFF2-40B4-BE49-F238E27FC236}">
              <a16:creationId xmlns:a16="http://schemas.microsoft.com/office/drawing/2014/main" id="{00000000-0008-0000-1E00-0000028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a:extLst>
            <a:ext uri="{FF2B5EF4-FFF2-40B4-BE49-F238E27FC236}">
              <a16:creationId xmlns:a16="http://schemas.microsoft.com/office/drawing/2014/main" id="{00000000-0008-0000-1E00-0000038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128" name="Graphique 4">
          <a:extLst>
            <a:ext uri="{FF2B5EF4-FFF2-40B4-BE49-F238E27FC236}">
              <a16:creationId xmlns:a16="http://schemas.microsoft.com/office/drawing/2014/main" id="{00000000-0008-0000-1E00-0000508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129" name="Graphique 5">
          <a:extLst>
            <a:ext uri="{FF2B5EF4-FFF2-40B4-BE49-F238E27FC236}">
              <a16:creationId xmlns:a16="http://schemas.microsoft.com/office/drawing/2014/main" id="{00000000-0008-0000-1E00-0000518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99</xdr:row>
      <xdr:rowOff>47625</xdr:rowOff>
    </xdr:from>
    <xdr:to>
      <xdr:col>17</xdr:col>
      <xdr:colOff>171450</xdr:colOff>
      <xdr:row>107</xdr:row>
      <xdr:rowOff>9525</xdr:rowOff>
    </xdr:to>
    <xdr:graphicFrame macro="">
      <xdr:nvGraphicFramePr>
        <xdr:cNvPr id="15431" name="Graphique 5">
          <a:extLst>
            <a:ext uri="{FF2B5EF4-FFF2-40B4-BE49-F238E27FC236}">
              <a16:creationId xmlns:a16="http://schemas.microsoft.com/office/drawing/2014/main" id="{00000000-0008-0000-0B00-000047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a:extLst>
            <a:ext uri="{FF2B5EF4-FFF2-40B4-BE49-F238E27FC236}">
              <a16:creationId xmlns:a16="http://schemas.microsoft.com/office/drawing/2014/main" id="{00000000-0008-0000-1F00-0000018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a:extLst>
            <a:ext uri="{FF2B5EF4-FFF2-40B4-BE49-F238E27FC236}">
              <a16:creationId xmlns:a16="http://schemas.microsoft.com/office/drawing/2014/main" id="{00000000-0008-0000-1F00-0000028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a:extLst>
            <a:ext uri="{FF2B5EF4-FFF2-40B4-BE49-F238E27FC236}">
              <a16:creationId xmlns:a16="http://schemas.microsoft.com/office/drawing/2014/main" id="{00000000-0008-0000-1F00-0000038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151" name="Graphique 4">
          <a:extLst>
            <a:ext uri="{FF2B5EF4-FFF2-40B4-BE49-F238E27FC236}">
              <a16:creationId xmlns:a16="http://schemas.microsoft.com/office/drawing/2014/main" id="{00000000-0008-0000-1F00-00004F8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152" name="Graphique 5">
          <a:extLst>
            <a:ext uri="{FF2B5EF4-FFF2-40B4-BE49-F238E27FC236}">
              <a16:creationId xmlns:a16="http://schemas.microsoft.com/office/drawing/2014/main" id="{00000000-0008-0000-1F00-0000508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a:extLst>
            <a:ext uri="{FF2B5EF4-FFF2-40B4-BE49-F238E27FC236}">
              <a16:creationId xmlns:a16="http://schemas.microsoft.com/office/drawing/2014/main" id="{00000000-0008-0000-2000-0000018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a:extLst>
            <a:ext uri="{FF2B5EF4-FFF2-40B4-BE49-F238E27FC236}">
              <a16:creationId xmlns:a16="http://schemas.microsoft.com/office/drawing/2014/main" id="{00000000-0008-0000-2000-0000028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a:extLst>
            <a:ext uri="{FF2B5EF4-FFF2-40B4-BE49-F238E27FC236}">
              <a16:creationId xmlns:a16="http://schemas.microsoft.com/office/drawing/2014/main" id="{00000000-0008-0000-2000-0000038C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178" name="Graphique 4">
          <a:extLst>
            <a:ext uri="{FF2B5EF4-FFF2-40B4-BE49-F238E27FC236}">
              <a16:creationId xmlns:a16="http://schemas.microsoft.com/office/drawing/2014/main" id="{00000000-0008-0000-2000-000052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179" name="Graphique 5">
          <a:extLst>
            <a:ext uri="{FF2B5EF4-FFF2-40B4-BE49-F238E27FC236}">
              <a16:creationId xmlns:a16="http://schemas.microsoft.com/office/drawing/2014/main" id="{00000000-0008-0000-2000-000053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a:extLst>
            <a:ext uri="{FF2B5EF4-FFF2-40B4-BE49-F238E27FC236}">
              <a16:creationId xmlns:a16="http://schemas.microsoft.com/office/drawing/2014/main" id="{00000000-0008-0000-2200-000001A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a:extLst>
            <a:ext uri="{FF2B5EF4-FFF2-40B4-BE49-F238E27FC236}">
              <a16:creationId xmlns:a16="http://schemas.microsoft.com/office/drawing/2014/main" id="{00000000-0008-0000-2200-000002A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a:extLst>
            <a:ext uri="{FF2B5EF4-FFF2-40B4-BE49-F238E27FC236}">
              <a16:creationId xmlns:a16="http://schemas.microsoft.com/office/drawing/2014/main" id="{00000000-0008-0000-2200-000003A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298" name="Graphique 4">
          <a:extLst>
            <a:ext uri="{FF2B5EF4-FFF2-40B4-BE49-F238E27FC236}">
              <a16:creationId xmlns:a16="http://schemas.microsoft.com/office/drawing/2014/main" id="{00000000-0008-0000-2200-000052A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299" name="Graphique 5">
          <a:extLst>
            <a:ext uri="{FF2B5EF4-FFF2-40B4-BE49-F238E27FC236}">
              <a16:creationId xmlns:a16="http://schemas.microsoft.com/office/drawing/2014/main" id="{00000000-0008-0000-2200-000053A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a:extLst>
            <a:ext uri="{FF2B5EF4-FFF2-40B4-BE49-F238E27FC236}">
              <a16:creationId xmlns:a16="http://schemas.microsoft.com/office/drawing/2014/main" id="{00000000-0008-0000-2300-000001C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a:extLst>
            <a:ext uri="{FF2B5EF4-FFF2-40B4-BE49-F238E27FC236}">
              <a16:creationId xmlns:a16="http://schemas.microsoft.com/office/drawing/2014/main" id="{00000000-0008-0000-2300-000002C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a:extLst>
            <a:ext uri="{FF2B5EF4-FFF2-40B4-BE49-F238E27FC236}">
              <a16:creationId xmlns:a16="http://schemas.microsoft.com/office/drawing/2014/main" id="{00000000-0008-0000-2300-000003C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511" name="Graphique 4">
          <a:extLst>
            <a:ext uri="{FF2B5EF4-FFF2-40B4-BE49-F238E27FC236}">
              <a16:creationId xmlns:a16="http://schemas.microsoft.com/office/drawing/2014/main" id="{00000000-0008-0000-2300-00004FC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512" name="Graphique 5">
          <a:extLst>
            <a:ext uri="{FF2B5EF4-FFF2-40B4-BE49-F238E27FC236}">
              <a16:creationId xmlns:a16="http://schemas.microsoft.com/office/drawing/2014/main" id="{00000000-0008-0000-2300-000050C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400-0000020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400-0000030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400-0000040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10643" name="Graphique 4">
          <a:extLst>
            <a:ext uri="{FF2B5EF4-FFF2-40B4-BE49-F238E27FC236}">
              <a16:creationId xmlns:a16="http://schemas.microsoft.com/office/drawing/2014/main" id="{00000000-0008-0000-2400-00001318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10644" name="Graphique 5">
          <a:extLst>
            <a:ext uri="{FF2B5EF4-FFF2-40B4-BE49-F238E27FC236}">
              <a16:creationId xmlns:a16="http://schemas.microsoft.com/office/drawing/2014/main" id="{00000000-0008-0000-2400-00001418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a:extLst>
            <a:ext uri="{FF2B5EF4-FFF2-40B4-BE49-F238E27FC236}">
              <a16:creationId xmlns:a16="http://schemas.microsoft.com/office/drawing/2014/main" id="{00000000-0008-0000-2500-000001A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a:extLst>
            <a:ext uri="{FF2B5EF4-FFF2-40B4-BE49-F238E27FC236}">
              <a16:creationId xmlns:a16="http://schemas.microsoft.com/office/drawing/2014/main" id="{00000000-0008-0000-2500-000002A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a:extLst>
            <a:ext uri="{FF2B5EF4-FFF2-40B4-BE49-F238E27FC236}">
              <a16:creationId xmlns:a16="http://schemas.microsoft.com/office/drawing/2014/main" id="{00000000-0008-0000-2500-000003A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486" name="Graphique 4">
          <a:extLst>
            <a:ext uri="{FF2B5EF4-FFF2-40B4-BE49-F238E27FC236}">
              <a16:creationId xmlns:a16="http://schemas.microsoft.com/office/drawing/2014/main" id="{00000000-0008-0000-2500-0000F6A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487" name="Graphique 5">
          <a:extLst>
            <a:ext uri="{FF2B5EF4-FFF2-40B4-BE49-F238E27FC236}">
              <a16:creationId xmlns:a16="http://schemas.microsoft.com/office/drawing/2014/main" id="{00000000-0008-0000-2500-0000F7A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104775</xdr:colOff>
      <xdr:row>0</xdr:row>
      <xdr:rowOff>133350</xdr:rowOff>
    </xdr:from>
    <xdr:to>
      <xdr:col>8</xdr:col>
      <xdr:colOff>828675</xdr:colOff>
      <xdr:row>7</xdr:row>
      <xdr:rowOff>142875</xdr:rowOff>
    </xdr:to>
    <xdr:sp macro="" textlink="">
      <xdr:nvSpPr>
        <xdr:cNvPr id="42013" name="AutoShape 29">
          <a:extLst>
            <a:ext uri="{FF2B5EF4-FFF2-40B4-BE49-F238E27FC236}">
              <a16:creationId xmlns:a16="http://schemas.microsoft.com/office/drawing/2014/main" id="{00000000-0008-0000-2500-00001DA40000}"/>
            </a:ext>
          </a:extLst>
        </xdr:cNvPr>
        <xdr:cNvSpPr>
          <a:spLocks noChangeArrowheads="1"/>
        </xdr:cNvSpPr>
      </xdr:nvSpPr>
      <xdr:spPr bwMode="auto">
        <a:xfrm>
          <a:off x="4486275" y="133350"/>
          <a:ext cx="4171950" cy="1285875"/>
        </a:xfrm>
        <a:prstGeom prst="wedgeRectCallout">
          <a:avLst>
            <a:gd name="adj1" fmla="val -94394"/>
            <a:gd name="adj2" fmla="val 4111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ea typeface="Verdana"/>
              <a:cs typeface="Verdana"/>
            </a:rPr>
            <a:t>In 3 months, I will have 1 USD to sell:</a:t>
          </a:r>
        </a:p>
        <a:p>
          <a:pPr algn="l" rtl="0">
            <a:defRPr sz="1000"/>
          </a:pPr>
          <a:r>
            <a:rPr lang="fr-FR" sz="800" b="0" i="0" u="none" strike="noStrike" baseline="0">
              <a:solidFill>
                <a:srgbClr val="000000"/>
              </a:solidFill>
              <a:latin typeface="Verdana"/>
              <a:ea typeface="Verdana"/>
              <a:cs typeface="Verdana"/>
            </a:rPr>
            <a:t>&gt; How much do I have to borrow to day in USD to have 1 USD to pay back in 3 months? (Cf B11)</a:t>
          </a:r>
        </a:p>
        <a:p>
          <a:pPr algn="l" rtl="0">
            <a:defRPr sz="1000"/>
          </a:pPr>
          <a:r>
            <a:rPr lang="fr-FR" sz="800" b="0" i="0" u="none" strike="noStrike" baseline="0">
              <a:solidFill>
                <a:srgbClr val="000000"/>
              </a:solidFill>
              <a:latin typeface="Verdana"/>
              <a:ea typeface="Verdana"/>
              <a:cs typeface="Verdana"/>
            </a:rPr>
            <a:t>&gt; the bank buys from me this amount of money against EUR, so there is a new amount of money in EUR (Cf B13)</a:t>
          </a:r>
        </a:p>
        <a:p>
          <a:pPr algn="l" rtl="0">
            <a:defRPr sz="1000"/>
          </a:pPr>
          <a:r>
            <a:rPr lang="fr-FR" sz="800" b="0" i="0" u="none" strike="noStrike" baseline="0">
              <a:solidFill>
                <a:srgbClr val="000000"/>
              </a:solidFill>
              <a:latin typeface="Verdana"/>
              <a:ea typeface="Verdana"/>
              <a:cs typeface="Verdana"/>
            </a:rPr>
            <a:t>&gt; lastly, I invest this amount of money in EUR, so 3 months later an amount of money x rate paid (Cf B15)</a:t>
          </a:r>
        </a:p>
        <a:p>
          <a:pPr algn="l" rtl="0">
            <a:defRPr sz="1000"/>
          </a:pPr>
          <a:r>
            <a:rPr lang="fr-FR" sz="800" b="0" i="0" u="none" strike="noStrike" baseline="0">
              <a:solidFill>
                <a:srgbClr val="000000"/>
              </a:solidFill>
              <a:latin typeface="Verdana"/>
              <a:ea typeface="Verdana"/>
              <a:cs typeface="Verdana"/>
            </a:rPr>
            <a:t>&gt; After 3 months, for 1 USD that I would be able to pay back, I would have 0,9803 EUR (Cf B17)</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twoCellAnchor>
    <xdr:from>
      <xdr:col>3</xdr:col>
      <xdr:colOff>561975</xdr:colOff>
      <xdr:row>7</xdr:row>
      <xdr:rowOff>371475</xdr:rowOff>
    </xdr:from>
    <xdr:to>
      <xdr:col>9</xdr:col>
      <xdr:colOff>9525</xdr:colOff>
      <xdr:row>13</xdr:row>
      <xdr:rowOff>76200</xdr:rowOff>
    </xdr:to>
    <xdr:sp macro="" textlink="">
      <xdr:nvSpPr>
        <xdr:cNvPr id="42014" name="AutoShape 30">
          <a:extLst>
            <a:ext uri="{FF2B5EF4-FFF2-40B4-BE49-F238E27FC236}">
              <a16:creationId xmlns:a16="http://schemas.microsoft.com/office/drawing/2014/main" id="{00000000-0008-0000-2500-00001EA40000}"/>
            </a:ext>
          </a:extLst>
        </xdr:cNvPr>
        <xdr:cNvSpPr>
          <a:spLocks noChangeArrowheads="1"/>
        </xdr:cNvSpPr>
      </xdr:nvSpPr>
      <xdr:spPr bwMode="auto">
        <a:xfrm>
          <a:off x="4105275" y="1647825"/>
          <a:ext cx="4572000" cy="1257300"/>
        </a:xfrm>
        <a:prstGeom prst="wedgeRectCallout">
          <a:avLst>
            <a:gd name="adj1" fmla="val -64046"/>
            <a:gd name="adj2" fmla="val -469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fr-FR" sz="800" b="0" i="0" u="none" strike="noStrike" baseline="0">
              <a:solidFill>
                <a:srgbClr val="000000"/>
              </a:solidFill>
              <a:latin typeface="Verdana"/>
              <a:ea typeface="Verdana"/>
              <a:cs typeface="Verdana"/>
            </a:rPr>
            <a:t>In 3 months, I would need 1 USD to buy:</a:t>
          </a:r>
        </a:p>
        <a:p>
          <a:pPr algn="l" rtl="0">
            <a:lnSpc>
              <a:spcPts val="900"/>
            </a:lnSpc>
            <a:defRPr sz="1000"/>
          </a:pPr>
          <a:r>
            <a:rPr lang="fr-FR" sz="800" b="0" i="0" u="none" strike="noStrike" baseline="0">
              <a:solidFill>
                <a:srgbClr val="000000"/>
              </a:solidFill>
              <a:latin typeface="Verdana"/>
              <a:ea typeface="Verdana"/>
              <a:cs typeface="Verdana"/>
            </a:rPr>
            <a:t>&gt; What amount of money do I have to invest today in USD to have 1 USD in 3 months? (Cf C11)</a:t>
          </a:r>
        </a:p>
        <a:p>
          <a:pPr algn="l" rtl="0">
            <a:lnSpc>
              <a:spcPts val="900"/>
            </a:lnSpc>
            <a:defRPr sz="1000"/>
          </a:pPr>
          <a:r>
            <a:rPr lang="fr-FR" sz="800" b="0" i="0" u="none" strike="noStrike" baseline="0">
              <a:solidFill>
                <a:srgbClr val="000000"/>
              </a:solidFill>
              <a:latin typeface="Verdana"/>
              <a:ea typeface="Verdana"/>
              <a:cs typeface="Verdana"/>
            </a:rPr>
            <a:t>&gt; the bank buys from me this amount of money against EUR, so there is a new amount of money in EUR (Cf C13)</a:t>
          </a:r>
        </a:p>
        <a:p>
          <a:pPr algn="l" rtl="0">
            <a:lnSpc>
              <a:spcPts val="800"/>
            </a:lnSpc>
            <a:defRPr sz="1000"/>
          </a:pPr>
          <a:r>
            <a:rPr lang="fr-FR" sz="800" b="0" i="0" u="none" strike="noStrike" baseline="0">
              <a:solidFill>
                <a:srgbClr val="000000"/>
              </a:solidFill>
              <a:latin typeface="Verdana"/>
              <a:ea typeface="Verdana"/>
              <a:cs typeface="Verdana"/>
            </a:rPr>
            <a:t>&gt; but in fact I do not have it; what amount of money I borrow do I have to pay back in 3 months (Cf C15)</a:t>
          </a:r>
        </a:p>
        <a:p>
          <a:pPr algn="l" rtl="0">
            <a:lnSpc>
              <a:spcPts val="900"/>
            </a:lnSpc>
            <a:defRPr sz="1000"/>
          </a:pPr>
          <a:r>
            <a:rPr lang="fr-FR" sz="800" b="0" i="0" u="none" strike="noStrike" baseline="0">
              <a:solidFill>
                <a:srgbClr val="000000"/>
              </a:solidFill>
              <a:latin typeface="Verdana"/>
              <a:ea typeface="Verdana"/>
              <a:cs typeface="Verdana"/>
            </a:rPr>
            <a:t>&gt; After 3 months, for 1 USD that the bank will sell to me, I will pay 0,9819 EUR (Cf C17)</a:t>
          </a:r>
        </a:p>
        <a:p>
          <a:pPr algn="l" rtl="0">
            <a:lnSpc>
              <a:spcPts val="800"/>
            </a:lnSpc>
            <a:defRPr sz="1000"/>
          </a:pPr>
          <a:endParaRPr lang="fr-FR" sz="800" b="0" i="0" u="none" strike="noStrike" baseline="0">
            <a:solidFill>
              <a:srgbClr val="000000"/>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95250</xdr:rowOff>
    </xdr:from>
    <xdr:to>
      <xdr:col>0</xdr:col>
      <xdr:colOff>0</xdr:colOff>
      <xdr:row>34</xdr:row>
      <xdr:rowOff>57150</xdr:rowOff>
    </xdr:to>
    <xdr:sp macro="" textlink="">
      <xdr:nvSpPr>
        <xdr:cNvPr id="54273" name="Text Box 1">
          <a:extLst>
            <a:ext uri="{FF2B5EF4-FFF2-40B4-BE49-F238E27FC236}">
              <a16:creationId xmlns:a16="http://schemas.microsoft.com/office/drawing/2014/main" id="{00000000-0008-0000-0C00-000001D40000}"/>
            </a:ext>
          </a:extLst>
        </xdr:cNvPr>
        <xdr:cNvSpPr txBox="1">
          <a:spLocks noChangeArrowheads="1"/>
        </xdr:cNvSpPr>
      </xdr:nvSpPr>
      <xdr:spPr bwMode="auto">
        <a:xfrm>
          <a:off x="0" y="4867275"/>
          <a:ext cx="0" cy="952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54274" name="Text Box 2">
          <a:extLst>
            <a:ext uri="{FF2B5EF4-FFF2-40B4-BE49-F238E27FC236}">
              <a16:creationId xmlns:a16="http://schemas.microsoft.com/office/drawing/2014/main" id="{00000000-0008-0000-0C00-000002D40000}"/>
            </a:ext>
          </a:extLst>
        </xdr:cNvPr>
        <xdr:cNvSpPr txBox="1">
          <a:spLocks noChangeArrowheads="1"/>
        </xdr:cNvSpPr>
      </xdr:nvSpPr>
      <xdr:spPr bwMode="auto">
        <a:xfrm>
          <a:off x="0" y="7419975"/>
          <a:ext cx="0" cy="771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609600</xdr:colOff>
      <xdr:row>34</xdr:row>
      <xdr:rowOff>152400</xdr:rowOff>
    </xdr:from>
    <xdr:to>
      <xdr:col>11</xdr:col>
      <xdr:colOff>171450</xdr:colOff>
      <xdr:row>44</xdr:row>
      <xdr:rowOff>76200</xdr:rowOff>
    </xdr:to>
    <xdr:graphicFrame macro="">
      <xdr:nvGraphicFramePr>
        <xdr:cNvPr id="54737" name="Graphique 3">
          <a:extLst>
            <a:ext uri="{FF2B5EF4-FFF2-40B4-BE49-F238E27FC236}">
              <a16:creationId xmlns:a16="http://schemas.microsoft.com/office/drawing/2014/main" id="{00000000-0008-0000-0C00-0000D1D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74</xdr:row>
      <xdr:rowOff>152400</xdr:rowOff>
    </xdr:from>
    <xdr:to>
      <xdr:col>10</xdr:col>
      <xdr:colOff>428625</xdr:colOff>
      <xdr:row>84</xdr:row>
      <xdr:rowOff>28575</xdr:rowOff>
    </xdr:to>
    <xdr:graphicFrame macro="">
      <xdr:nvGraphicFramePr>
        <xdr:cNvPr id="54738" name="Graphique 4">
          <a:extLst>
            <a:ext uri="{FF2B5EF4-FFF2-40B4-BE49-F238E27FC236}">
              <a16:creationId xmlns:a16="http://schemas.microsoft.com/office/drawing/2014/main" id="{00000000-0008-0000-0C00-0000D2D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85725</xdr:colOff>
      <xdr:row>84</xdr:row>
      <xdr:rowOff>123825</xdr:rowOff>
    </xdr:from>
    <xdr:to>
      <xdr:col>10</xdr:col>
      <xdr:colOff>438150</xdr:colOff>
      <xdr:row>93</xdr:row>
      <xdr:rowOff>171450</xdr:rowOff>
    </xdr:to>
    <xdr:graphicFrame macro="">
      <xdr:nvGraphicFramePr>
        <xdr:cNvPr id="54739" name="Graphique 5">
          <a:extLst>
            <a:ext uri="{FF2B5EF4-FFF2-40B4-BE49-F238E27FC236}">
              <a16:creationId xmlns:a16="http://schemas.microsoft.com/office/drawing/2014/main" id="{00000000-0008-0000-0C00-0000D3D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85725</xdr:colOff>
      <xdr:row>98</xdr:row>
      <xdr:rowOff>123825</xdr:rowOff>
    </xdr:from>
    <xdr:to>
      <xdr:col>11</xdr:col>
      <xdr:colOff>447675</xdr:colOff>
      <xdr:row>109</xdr:row>
      <xdr:rowOff>0</xdr:rowOff>
    </xdr:to>
    <xdr:graphicFrame macro="">
      <xdr:nvGraphicFramePr>
        <xdr:cNvPr id="54740" name="Graphique 6">
          <a:extLst>
            <a:ext uri="{FF2B5EF4-FFF2-40B4-BE49-F238E27FC236}">
              <a16:creationId xmlns:a16="http://schemas.microsoft.com/office/drawing/2014/main" id="{00000000-0008-0000-0C00-0000D4D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95250</xdr:colOff>
      <xdr:row>113</xdr:row>
      <xdr:rowOff>76200</xdr:rowOff>
    </xdr:from>
    <xdr:to>
      <xdr:col>11</xdr:col>
      <xdr:colOff>466725</xdr:colOff>
      <xdr:row>123</xdr:row>
      <xdr:rowOff>123825</xdr:rowOff>
    </xdr:to>
    <xdr:graphicFrame macro="">
      <xdr:nvGraphicFramePr>
        <xdr:cNvPr id="54741" name="Graphique 7">
          <a:extLst>
            <a:ext uri="{FF2B5EF4-FFF2-40B4-BE49-F238E27FC236}">
              <a16:creationId xmlns:a16="http://schemas.microsoft.com/office/drawing/2014/main" id="{00000000-0008-0000-0C00-0000D5D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57</xdr:row>
      <xdr:rowOff>95250</xdr:rowOff>
    </xdr:from>
    <xdr:to>
      <xdr:col>0</xdr:col>
      <xdr:colOff>0</xdr:colOff>
      <xdr:row>61</xdr:row>
      <xdr:rowOff>57150</xdr:rowOff>
    </xdr:to>
    <xdr:sp macro="" textlink="">
      <xdr:nvSpPr>
        <xdr:cNvPr id="20481" name="Text Box 1">
          <a:extLst>
            <a:ext uri="{FF2B5EF4-FFF2-40B4-BE49-F238E27FC236}">
              <a16:creationId xmlns:a16="http://schemas.microsoft.com/office/drawing/2014/main" id="{00000000-0008-0000-0D00-000001500000}"/>
            </a:ext>
          </a:extLst>
        </xdr:cNvPr>
        <xdr:cNvSpPr txBox="1">
          <a:spLocks noChangeArrowheads="1"/>
        </xdr:cNvSpPr>
      </xdr:nvSpPr>
      <xdr:spPr bwMode="auto">
        <a:xfrm>
          <a:off x="0" y="10029825"/>
          <a:ext cx="0" cy="609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70</xdr:row>
      <xdr:rowOff>38100</xdr:rowOff>
    </xdr:from>
    <xdr:to>
      <xdr:col>0</xdr:col>
      <xdr:colOff>0</xdr:colOff>
      <xdr:row>74</xdr:row>
      <xdr:rowOff>0</xdr:rowOff>
    </xdr:to>
    <xdr:sp macro="" textlink="">
      <xdr:nvSpPr>
        <xdr:cNvPr id="20482" name="Text Box 2">
          <a:extLst>
            <a:ext uri="{FF2B5EF4-FFF2-40B4-BE49-F238E27FC236}">
              <a16:creationId xmlns:a16="http://schemas.microsoft.com/office/drawing/2014/main" id="{00000000-0008-0000-0D00-000002500000}"/>
            </a:ext>
          </a:extLst>
        </xdr:cNvPr>
        <xdr:cNvSpPr txBox="1">
          <a:spLocks noChangeArrowheads="1"/>
        </xdr:cNvSpPr>
      </xdr:nvSpPr>
      <xdr:spPr bwMode="auto">
        <a:xfrm>
          <a:off x="0" y="12077700"/>
          <a:ext cx="0" cy="628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28575</xdr:colOff>
      <xdr:row>55</xdr:row>
      <xdr:rowOff>19050</xdr:rowOff>
    </xdr:from>
    <xdr:to>
      <xdr:col>8</xdr:col>
      <xdr:colOff>266700</xdr:colOff>
      <xdr:row>70</xdr:row>
      <xdr:rowOff>19050</xdr:rowOff>
    </xdr:to>
    <xdr:graphicFrame macro="">
      <xdr:nvGraphicFramePr>
        <xdr:cNvPr id="20822" name="Graphique 4">
          <a:extLst>
            <a:ext uri="{FF2B5EF4-FFF2-40B4-BE49-F238E27FC236}">
              <a16:creationId xmlns:a16="http://schemas.microsoft.com/office/drawing/2014/main" id="{00000000-0008-0000-0D00-0000565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83</xdr:row>
      <xdr:rowOff>104775</xdr:rowOff>
    </xdr:from>
    <xdr:to>
      <xdr:col>8</xdr:col>
      <xdr:colOff>409575</xdr:colOff>
      <xdr:row>99</xdr:row>
      <xdr:rowOff>133350</xdr:rowOff>
    </xdr:to>
    <xdr:graphicFrame macro="">
      <xdr:nvGraphicFramePr>
        <xdr:cNvPr id="20823" name="Graphique 5">
          <a:extLst>
            <a:ext uri="{FF2B5EF4-FFF2-40B4-BE49-F238E27FC236}">
              <a16:creationId xmlns:a16="http://schemas.microsoft.com/office/drawing/2014/main" id="{00000000-0008-0000-0D00-0000575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800100</xdr:colOff>
      <xdr:row>91</xdr:row>
      <xdr:rowOff>28575</xdr:rowOff>
    </xdr:from>
    <xdr:ext cx="181075" cy="174343"/>
    <xdr:sp macro="" textlink="">
      <xdr:nvSpPr>
        <xdr:cNvPr id="20494" name="Text Box 14">
          <a:extLst>
            <a:ext uri="{FF2B5EF4-FFF2-40B4-BE49-F238E27FC236}">
              <a16:creationId xmlns:a16="http://schemas.microsoft.com/office/drawing/2014/main" id="{00000000-0008-0000-0D00-00000E500000}"/>
            </a:ext>
          </a:extLst>
        </xdr:cNvPr>
        <xdr:cNvSpPr txBox="1">
          <a:spLocks noChangeArrowheads="1"/>
        </xdr:cNvSpPr>
      </xdr:nvSpPr>
      <xdr:spPr bwMode="auto">
        <a:xfrm>
          <a:off x="4597400" y="15751175"/>
          <a:ext cx="181075" cy="174343"/>
        </a:xfrm>
        <a:prstGeom prst="rect">
          <a:avLst/>
        </a:prstGeom>
        <a:noFill/>
        <a:ln>
          <a:noFill/>
        </a:ln>
      </xdr:spPr>
      <xdr:txBody>
        <a:bodyPr wrap="none" lIns="18288" tIns="18288" rIns="0" bIns="0" anchor="t" upright="1">
          <a:spAutoFit/>
        </a:bodyPr>
        <a:lstStyle/>
        <a:p>
          <a:pPr algn="l" rtl="0">
            <a:defRPr sz="1000"/>
          </a:pPr>
          <a:r>
            <a:rPr lang="fr-FR" sz="1000" b="0" i="0" u="none" strike="noStrike" baseline="0">
              <a:solidFill>
                <a:srgbClr val="000000"/>
              </a:solidFill>
              <a:latin typeface="Verdana"/>
              <a:ea typeface="Verdana"/>
              <a:cs typeface="Verdana"/>
            </a:rPr>
            <a:t>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35</xdr:row>
      <xdr:rowOff>95250</xdr:rowOff>
    </xdr:from>
    <xdr:to>
      <xdr:col>0</xdr:col>
      <xdr:colOff>0</xdr:colOff>
      <xdr:row>38</xdr:row>
      <xdr:rowOff>0</xdr:rowOff>
    </xdr:to>
    <xdr:sp macro="" textlink="">
      <xdr:nvSpPr>
        <xdr:cNvPr id="21505" name="Text Box 1">
          <a:extLst>
            <a:ext uri="{FF2B5EF4-FFF2-40B4-BE49-F238E27FC236}">
              <a16:creationId xmlns:a16="http://schemas.microsoft.com/office/drawing/2014/main" id="{00000000-0008-0000-0E00-000001540000}"/>
            </a:ext>
          </a:extLst>
        </xdr:cNvPr>
        <xdr:cNvSpPr txBox="1">
          <a:spLocks noChangeArrowheads="1"/>
        </xdr:cNvSpPr>
      </xdr:nvSpPr>
      <xdr:spPr bwMode="auto">
        <a:xfrm>
          <a:off x="0" y="5838825"/>
          <a:ext cx="0"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38</xdr:row>
      <xdr:rowOff>0</xdr:rowOff>
    </xdr:from>
    <xdr:to>
      <xdr:col>0</xdr:col>
      <xdr:colOff>0</xdr:colOff>
      <xdr:row>38</xdr:row>
      <xdr:rowOff>0</xdr:rowOff>
    </xdr:to>
    <xdr:sp macro="" textlink="">
      <xdr:nvSpPr>
        <xdr:cNvPr id="21506" name="Text Box 2">
          <a:extLst>
            <a:ext uri="{FF2B5EF4-FFF2-40B4-BE49-F238E27FC236}">
              <a16:creationId xmlns:a16="http://schemas.microsoft.com/office/drawing/2014/main" id="{00000000-0008-0000-0E00-000002540000}"/>
            </a:ext>
          </a:extLst>
        </xdr:cNvPr>
        <xdr:cNvSpPr txBox="1">
          <a:spLocks noChangeArrowheads="1"/>
        </xdr:cNvSpPr>
      </xdr:nvSpPr>
      <xdr:spPr bwMode="auto">
        <a:xfrm>
          <a:off x="0" y="6229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95250</xdr:rowOff>
    </xdr:to>
    <xdr:sp macro="" textlink="">
      <xdr:nvSpPr>
        <xdr:cNvPr id="21507" name="Text Box 3">
          <a:extLst>
            <a:ext uri="{FF2B5EF4-FFF2-40B4-BE49-F238E27FC236}">
              <a16:creationId xmlns:a16="http://schemas.microsoft.com/office/drawing/2014/main" id="{00000000-0008-0000-0E00-000003540000}"/>
            </a:ext>
          </a:extLst>
        </xdr:cNvPr>
        <xdr:cNvSpPr txBox="1">
          <a:spLocks noChangeArrowheads="1"/>
        </xdr:cNvSpPr>
      </xdr:nvSpPr>
      <xdr:spPr bwMode="auto">
        <a:xfrm>
          <a:off x="0" y="219075"/>
          <a:ext cx="0" cy="542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32</xdr:row>
      <xdr:rowOff>95250</xdr:rowOff>
    </xdr:from>
    <xdr:to>
      <xdr:col>0</xdr:col>
      <xdr:colOff>0</xdr:colOff>
      <xdr:row>38</xdr:row>
      <xdr:rowOff>0</xdr:rowOff>
    </xdr:to>
    <xdr:graphicFrame macro="">
      <xdr:nvGraphicFramePr>
        <xdr:cNvPr id="21845" name="Graphique 4">
          <a:extLst>
            <a:ext uri="{FF2B5EF4-FFF2-40B4-BE49-F238E27FC236}">
              <a16:creationId xmlns:a16="http://schemas.microsoft.com/office/drawing/2014/main" id="{00000000-0008-0000-0E00-000055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0</xdr:col>
      <xdr:colOff>0</xdr:colOff>
      <xdr:row>38</xdr:row>
      <xdr:rowOff>0</xdr:rowOff>
    </xdr:to>
    <xdr:graphicFrame macro="">
      <xdr:nvGraphicFramePr>
        <xdr:cNvPr id="21846" name="Graphique 5">
          <a:extLst>
            <a:ext uri="{FF2B5EF4-FFF2-40B4-BE49-F238E27FC236}">
              <a16:creationId xmlns:a16="http://schemas.microsoft.com/office/drawing/2014/main" id="{00000000-0008-0000-0E00-000056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a:extLst>
            <a:ext uri="{FF2B5EF4-FFF2-40B4-BE49-F238E27FC236}">
              <a16:creationId xmlns:a16="http://schemas.microsoft.com/office/drawing/2014/main" id="{00000000-0008-0000-1000-0000016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a:extLst>
            <a:ext uri="{FF2B5EF4-FFF2-40B4-BE49-F238E27FC236}">
              <a16:creationId xmlns:a16="http://schemas.microsoft.com/office/drawing/2014/main" id="{00000000-0008-0000-1000-0000026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a:extLst>
            <a:ext uri="{FF2B5EF4-FFF2-40B4-BE49-F238E27FC236}">
              <a16:creationId xmlns:a16="http://schemas.microsoft.com/office/drawing/2014/main" id="{00000000-0008-0000-1000-00000360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5045" name="Graphique 4">
          <a:extLst>
            <a:ext uri="{FF2B5EF4-FFF2-40B4-BE49-F238E27FC236}">
              <a16:creationId xmlns:a16="http://schemas.microsoft.com/office/drawing/2014/main" id="{00000000-0008-0000-1000-0000D56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5046" name="Graphique 5">
          <a:extLst>
            <a:ext uri="{FF2B5EF4-FFF2-40B4-BE49-F238E27FC236}">
              <a16:creationId xmlns:a16="http://schemas.microsoft.com/office/drawing/2014/main" id="{00000000-0008-0000-1000-0000D66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0</xdr:row>
      <xdr:rowOff>0</xdr:rowOff>
    </xdr:from>
    <xdr:to>
      <xdr:col>5</xdr:col>
      <xdr:colOff>314325</xdr:colOff>
      <xdr:row>0</xdr:row>
      <xdr:rowOff>0</xdr:rowOff>
    </xdr:to>
    <xdr:sp macro="" textlink="">
      <xdr:nvSpPr>
        <xdr:cNvPr id="24582" name="Text Box 6">
          <a:extLst>
            <a:ext uri="{FF2B5EF4-FFF2-40B4-BE49-F238E27FC236}">
              <a16:creationId xmlns:a16="http://schemas.microsoft.com/office/drawing/2014/main" id="{00000000-0008-0000-1000-000006600000}"/>
            </a:ext>
          </a:extLst>
        </xdr:cNvPr>
        <xdr:cNvSpPr txBox="1">
          <a:spLocks noChangeArrowheads="1"/>
        </xdr:cNvSpPr>
      </xdr:nvSpPr>
      <xdr:spPr bwMode="auto">
        <a:xfrm>
          <a:off x="3171825" y="0"/>
          <a:ext cx="23622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ea typeface="Verdana"/>
              <a:cs typeface="Verdana"/>
            </a:rPr>
            <a:t>Note:</a:t>
          </a:r>
          <a:r>
            <a:rPr lang="fr-FR" sz="800" b="1" i="0" u="none" strike="noStrike" baseline="0">
              <a:solidFill>
                <a:srgbClr val="000000"/>
              </a:solidFill>
              <a:latin typeface="Verdana"/>
              <a:ea typeface="Verdana"/>
              <a:cs typeface="Verdana"/>
            </a:rPr>
            <a:t> attention, il s'agit de le déduire des impôts et non du revenu avant impôt… (ce qui a encore moins de chance d'être voté !)</a:t>
          </a:r>
        </a:p>
      </xdr:txBody>
    </xdr:sp>
    <xdr:clientData/>
  </xdr:twoCellAnchor>
  <xdr:twoCellAnchor>
    <xdr:from>
      <xdr:col>2</xdr:col>
      <xdr:colOff>428625</xdr:colOff>
      <xdr:row>0</xdr:row>
      <xdr:rowOff>0</xdr:rowOff>
    </xdr:from>
    <xdr:to>
      <xdr:col>4</xdr:col>
      <xdr:colOff>647700</xdr:colOff>
      <xdr:row>0</xdr:row>
      <xdr:rowOff>0</xdr:rowOff>
    </xdr:to>
    <xdr:sp macro="" textlink="">
      <xdr:nvSpPr>
        <xdr:cNvPr id="24583" name="Text Box 7">
          <a:extLst>
            <a:ext uri="{FF2B5EF4-FFF2-40B4-BE49-F238E27FC236}">
              <a16:creationId xmlns:a16="http://schemas.microsoft.com/office/drawing/2014/main" id="{00000000-0008-0000-1000-000007600000}"/>
            </a:ext>
          </a:extLst>
        </xdr:cNvPr>
        <xdr:cNvSpPr txBox="1">
          <a:spLocks noChangeArrowheads="1"/>
        </xdr:cNvSpPr>
      </xdr:nvSpPr>
      <xdr:spPr bwMode="auto">
        <a:xfrm>
          <a:off x="3133725" y="0"/>
          <a:ext cx="18954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Léger écart</a:t>
          </a:r>
        </a:p>
      </xdr:txBody>
    </xdr:sp>
    <xdr:clientData/>
  </xdr:twoCellAnchor>
  <mc:AlternateContent xmlns:mc="http://schemas.openxmlformats.org/markup-compatibility/2006">
    <mc:Choice xmlns:a14="http://schemas.microsoft.com/office/drawing/2010/main" Requires="a14">
      <xdr:twoCellAnchor>
        <xdr:from>
          <xdr:col>5</xdr:col>
          <xdr:colOff>0</xdr:colOff>
          <xdr:row>20</xdr:row>
          <xdr:rowOff>0</xdr:rowOff>
        </xdr:from>
        <xdr:to>
          <xdr:col>5</xdr:col>
          <xdr:colOff>114300</xdr:colOff>
          <xdr:row>20</xdr:row>
          <xdr:rowOff>0</xdr:rowOff>
        </xdr:to>
        <xdr:sp macro="" textlink="">
          <xdr:nvSpPr>
            <xdr:cNvPr id="24789" name="Object 213" hidden="1">
              <a:extLst>
                <a:ext uri="{63B3BB69-23CF-44E3-9099-C40C66FF867C}">
                  <a14:compatExt spid="_x0000_s24789"/>
                </a:ext>
                <a:ext uri="{FF2B5EF4-FFF2-40B4-BE49-F238E27FC236}">
                  <a16:creationId xmlns:a16="http://schemas.microsoft.com/office/drawing/2014/main" id="{00000000-0008-0000-1000-0000D5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a:extLst>
            <a:ext uri="{FF2B5EF4-FFF2-40B4-BE49-F238E27FC236}">
              <a16:creationId xmlns:a16="http://schemas.microsoft.com/office/drawing/2014/main" id="{00000000-0008-0000-1100-0000016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a:extLst>
            <a:ext uri="{FF2B5EF4-FFF2-40B4-BE49-F238E27FC236}">
              <a16:creationId xmlns:a16="http://schemas.microsoft.com/office/drawing/2014/main" id="{00000000-0008-0000-1100-0000026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a:extLst>
            <a:ext uri="{FF2B5EF4-FFF2-40B4-BE49-F238E27FC236}">
              <a16:creationId xmlns:a16="http://schemas.microsoft.com/office/drawing/2014/main" id="{00000000-0008-0000-1100-00000364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5967" name="Graphique 4">
          <a:extLst>
            <a:ext uri="{FF2B5EF4-FFF2-40B4-BE49-F238E27FC236}">
              <a16:creationId xmlns:a16="http://schemas.microsoft.com/office/drawing/2014/main" id="{00000000-0008-0000-1100-00006F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5968" name="Graphique 5">
          <a:extLst>
            <a:ext uri="{FF2B5EF4-FFF2-40B4-BE49-F238E27FC236}">
              <a16:creationId xmlns:a16="http://schemas.microsoft.com/office/drawing/2014/main" id="{00000000-0008-0000-1100-000070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492125</xdr:colOff>
      <xdr:row>11</xdr:row>
      <xdr:rowOff>146050</xdr:rowOff>
    </xdr:from>
    <xdr:to>
      <xdr:col>8</xdr:col>
      <xdr:colOff>673100</xdr:colOff>
      <xdr:row>13</xdr:row>
      <xdr:rowOff>31750</xdr:rowOff>
    </xdr:to>
    <xdr:sp macro="" textlink="">
      <xdr:nvSpPr>
        <xdr:cNvPr id="8" name="Légende encadrée 2 7">
          <a:extLst>
            <a:ext uri="{FF2B5EF4-FFF2-40B4-BE49-F238E27FC236}">
              <a16:creationId xmlns:a16="http://schemas.microsoft.com/office/drawing/2014/main" id="{00000000-0008-0000-1100-000008000000}"/>
            </a:ext>
          </a:extLst>
        </xdr:cNvPr>
        <xdr:cNvSpPr/>
      </xdr:nvSpPr>
      <xdr:spPr bwMode="auto">
        <a:xfrm>
          <a:off x="4391025" y="2000250"/>
          <a:ext cx="3533775" cy="228600"/>
        </a:xfrm>
        <a:prstGeom prst="borderCallout2">
          <a:avLst>
            <a:gd name="adj1" fmla="val 18750"/>
            <a:gd name="adj2" fmla="val -8333"/>
            <a:gd name="adj3" fmla="val 335417"/>
            <a:gd name="adj4" fmla="val -20171"/>
            <a:gd name="adj5" fmla="val 291667"/>
            <a:gd name="adj6" fmla="val -83864"/>
          </a:avLst>
        </a:prstGeom>
        <a:solidFill>
          <a:schemeClr val="bg1"/>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lang="fr-FR" sz="1100"/>
            <a:t>To be computed with</a:t>
          </a:r>
          <a:r>
            <a:rPr lang="fr-FR" sz="1100" baseline="0"/>
            <a:t> a goal seek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a:extLst>
            <a:ext uri="{FF2B5EF4-FFF2-40B4-BE49-F238E27FC236}">
              <a16:creationId xmlns:a16="http://schemas.microsoft.com/office/drawing/2014/main" id="{00000000-0008-0000-1300-000001B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a:extLst>
            <a:ext uri="{FF2B5EF4-FFF2-40B4-BE49-F238E27FC236}">
              <a16:creationId xmlns:a16="http://schemas.microsoft.com/office/drawing/2014/main" id="{00000000-0008-0000-1300-000002B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a:extLst>
            <a:ext uri="{FF2B5EF4-FFF2-40B4-BE49-F238E27FC236}">
              <a16:creationId xmlns:a16="http://schemas.microsoft.com/office/drawing/2014/main" id="{00000000-0008-0000-1300-000003B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438" name="Graphique 4">
          <a:extLst>
            <a:ext uri="{FF2B5EF4-FFF2-40B4-BE49-F238E27FC236}">
              <a16:creationId xmlns:a16="http://schemas.microsoft.com/office/drawing/2014/main" id="{00000000-0008-0000-1300-00004EB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439" name="Graphique 5">
          <a:extLst>
            <a:ext uri="{FF2B5EF4-FFF2-40B4-BE49-F238E27FC236}">
              <a16:creationId xmlns:a16="http://schemas.microsoft.com/office/drawing/2014/main" id="{00000000-0008-0000-1300-00004FB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a:extLst>
            <a:ext uri="{FF2B5EF4-FFF2-40B4-BE49-F238E27FC236}">
              <a16:creationId xmlns:a16="http://schemas.microsoft.com/office/drawing/2014/main" id="{00000000-0008-0000-1400-0000016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a:extLst>
            <a:ext uri="{FF2B5EF4-FFF2-40B4-BE49-F238E27FC236}">
              <a16:creationId xmlns:a16="http://schemas.microsoft.com/office/drawing/2014/main" id="{00000000-0008-0000-1400-0000026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a:extLst>
            <a:ext uri="{FF2B5EF4-FFF2-40B4-BE49-F238E27FC236}">
              <a16:creationId xmlns:a16="http://schemas.microsoft.com/office/drawing/2014/main" id="{00000000-0008-0000-1400-000003680000}"/>
            </a:ext>
          </a:extLst>
        </xdr:cNvPr>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091" name="Graphique 4">
          <a:extLst>
            <a:ext uri="{FF2B5EF4-FFF2-40B4-BE49-F238E27FC236}">
              <a16:creationId xmlns:a16="http://schemas.microsoft.com/office/drawing/2014/main" id="{00000000-0008-0000-1400-0000D3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092" name="Graphique 5">
          <a:extLst>
            <a:ext uri="{FF2B5EF4-FFF2-40B4-BE49-F238E27FC236}">
              <a16:creationId xmlns:a16="http://schemas.microsoft.com/office/drawing/2014/main" id="{00000000-0008-0000-1400-0000D4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276225</xdr:colOff>
      <xdr:row>0</xdr:row>
      <xdr:rowOff>0</xdr:rowOff>
    </xdr:from>
    <xdr:to>
      <xdr:col>1</xdr:col>
      <xdr:colOff>619125</xdr:colOff>
      <xdr:row>0</xdr:row>
      <xdr:rowOff>0</xdr:rowOff>
    </xdr:to>
    <xdr:sp macro="" textlink="">
      <xdr:nvSpPr>
        <xdr:cNvPr id="27093" name="AutoShape 7">
          <a:extLst>
            <a:ext uri="{FF2B5EF4-FFF2-40B4-BE49-F238E27FC236}">
              <a16:creationId xmlns:a16="http://schemas.microsoft.com/office/drawing/2014/main" id="{00000000-0008-0000-1400-0000D5690000}"/>
            </a:ext>
          </a:extLst>
        </xdr:cNvPr>
        <xdr:cNvSpPr>
          <a:spLocks noChangeArrowheads="1"/>
        </xdr:cNvSpPr>
      </xdr:nvSpPr>
      <xdr:spPr bwMode="auto">
        <a:xfrm>
          <a:off x="1857375" y="0"/>
          <a:ext cx="342900" cy="0"/>
        </a:xfrm>
        <a:prstGeom prst="leftRightArrow">
          <a:avLst>
            <a:gd name="adj1" fmla="val 50000"/>
            <a:gd name="adj2" fmla="val -2147483648"/>
          </a:avLst>
        </a:prstGeom>
        <a:solidFill>
          <a:srgbClr val="000000"/>
        </a:solidFill>
        <a:ln w="9525">
          <a:solidFill>
            <a:srgbClr val="000000"/>
          </a:solidFill>
          <a:miter lim="800000"/>
          <a:headEnd/>
          <a:tailEnd/>
        </a:ln>
      </xdr:spPr>
    </xdr:sp>
    <xdr:clientData/>
  </xdr:twoCellAnchor>
  <xdr:twoCellAnchor>
    <xdr:from>
      <xdr:col>1</xdr:col>
      <xdr:colOff>276225</xdr:colOff>
      <xdr:row>0</xdr:row>
      <xdr:rowOff>0</xdr:rowOff>
    </xdr:from>
    <xdr:to>
      <xdr:col>1</xdr:col>
      <xdr:colOff>619125</xdr:colOff>
      <xdr:row>0</xdr:row>
      <xdr:rowOff>0</xdr:rowOff>
    </xdr:to>
    <xdr:sp macro="" textlink="">
      <xdr:nvSpPr>
        <xdr:cNvPr id="27094" name="AutoShape 8">
          <a:extLst>
            <a:ext uri="{FF2B5EF4-FFF2-40B4-BE49-F238E27FC236}">
              <a16:creationId xmlns:a16="http://schemas.microsoft.com/office/drawing/2014/main" id="{00000000-0008-0000-1400-0000D6690000}"/>
            </a:ext>
          </a:extLst>
        </xdr:cNvPr>
        <xdr:cNvSpPr>
          <a:spLocks noChangeArrowheads="1"/>
        </xdr:cNvSpPr>
      </xdr:nvSpPr>
      <xdr:spPr bwMode="auto">
        <a:xfrm>
          <a:off x="1857375" y="0"/>
          <a:ext cx="342900" cy="0"/>
        </a:xfrm>
        <a:prstGeom prst="leftRigh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ib.net/shareparis/Home15/ylefur/desktop/PV/corriges_exo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es%20documents/Vernimmen/Exercices%20non%20pr&#233;sents%20ds%20la%20version%20angla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tre 2"/>
      <sheetName val=" Chapitre 3"/>
      <sheetName val="Chapitre 4"/>
      <sheetName val="Chapitre 5"/>
      <sheetName val="Chapitre 7"/>
      <sheetName val="Chapitre 9"/>
      <sheetName val="Chapitre 10"/>
      <sheetName val="Chapitre 11"/>
      <sheetName val=" Chapitre 12"/>
      <sheetName val="Chapitre 13"/>
      <sheetName val="Chapitre 14"/>
      <sheetName val="Chapitre 15"/>
      <sheetName val=" Chapitre 18"/>
      <sheetName val="Chapitre 19"/>
      <sheetName val="Chapitre 20"/>
      <sheetName val="Chapitre 21"/>
      <sheetName val="Chapitre 22"/>
      <sheetName val="Chapitre 23"/>
      <sheetName val="Chapitre 24"/>
      <sheetName val="Chapitre 26"/>
      <sheetName val="Chapitre 27"/>
      <sheetName val="Chapitre 28"/>
      <sheetName val=" Chapitre 29"/>
      <sheetName val=" Chapitre 30"/>
      <sheetName val="Chapitre 31"/>
      <sheetName val="Chapitre 32"/>
      <sheetName val=" Chapitre 33"/>
      <sheetName val="Chapitre 34"/>
      <sheetName val="Chapitre 35"/>
      <sheetName val="Chapitre 36"/>
      <sheetName val=" Chapitre 37"/>
      <sheetName val="Chapitre 38"/>
      <sheetName val="Chapitre 39"/>
      <sheetName val="Chapitre 40"/>
      <sheetName val="Chapitre 41"/>
      <sheetName val=" Chapitre 42"/>
      <sheetName val=" Chapitre 43"/>
      <sheetName val=" Chapitre 44"/>
      <sheetName val="Chapitre 45"/>
      <sheetName val="Chapitre 46"/>
      <sheetName val="Chapitre 49"/>
      <sheetName val="Chapitre 51"/>
      <sheetName val="Chapitre 52"/>
      <sheetName val=" Chapitre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D11">
            <v>30</v>
          </cell>
        </row>
        <row r="65">
          <cell r="B65">
            <v>0.2</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tre 25"/>
      <sheetName val="Chapitre 30"/>
      <sheetName val="Chapitre 31 "/>
      <sheetName val="Chapitre 40 "/>
      <sheetName val="Chapitre 46 "/>
      <sheetName val="exo 2000"/>
      <sheetName val="Feuil1"/>
      <sheetName val="Memo"/>
      <sheetName val="A retrouver"/>
      <sheetName val="A retrouver 3"/>
      <sheetName val="A retrouver 4"/>
      <sheetName val="A retrouver 5"/>
      <sheetName val="Non"/>
      <sheetName val="A retrouver 2"/>
      <sheetName val="Feuil2"/>
      <sheetName val="Feuil3"/>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7.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39"/>
  <sheetViews>
    <sheetView showGridLines="0" zoomScale="85" zoomScaleNormal="85" zoomScalePageLayoutView="85" workbookViewId="0">
      <selection activeCell="C20" sqref="C20"/>
    </sheetView>
  </sheetViews>
  <sheetFormatPr baseColWidth="10" defaultColWidth="10.6640625" defaultRowHeight="14" x14ac:dyDescent="0.15"/>
  <cols>
    <col min="1" max="1" width="37.5" style="12" customWidth="1"/>
    <col min="2" max="9" width="11.1640625" style="9" bestFit="1" customWidth="1"/>
    <col min="10" max="10" width="12.5" style="9" bestFit="1" customWidth="1"/>
    <col min="11" max="11" width="11.1640625" style="9" bestFit="1" customWidth="1"/>
    <col min="12" max="13" width="11.6640625" style="9" bestFit="1" customWidth="1"/>
    <col min="14" max="21" width="11.1640625" style="9" bestFit="1" customWidth="1"/>
    <col min="22" max="22" width="12.5" style="9" bestFit="1" customWidth="1"/>
    <col min="23" max="23" width="11.1640625" style="9" bestFit="1" customWidth="1"/>
    <col min="24" max="25" width="11.6640625" style="9" bestFit="1" customWidth="1"/>
    <col min="26" max="33" width="11.1640625" style="9" bestFit="1" customWidth="1"/>
    <col min="34" max="34" width="12.5" style="9" bestFit="1" customWidth="1"/>
    <col min="35" max="35" width="11.1640625" style="9" bestFit="1" customWidth="1"/>
    <col min="36" max="37" width="11.6640625" style="9" bestFit="1" customWidth="1"/>
    <col min="38" max="45" width="11.1640625" style="9" bestFit="1" customWidth="1"/>
    <col min="46" max="46" width="12.5" style="9" bestFit="1" customWidth="1"/>
    <col min="47" max="47" width="11.1640625" style="9" bestFit="1" customWidth="1"/>
    <col min="48" max="49" width="11.6640625" style="9" bestFit="1" customWidth="1"/>
    <col min="50" max="57" width="11.1640625" style="9" bestFit="1" customWidth="1"/>
    <col min="58" max="58" width="12.5" style="9" bestFit="1" customWidth="1"/>
    <col min="59" max="59" width="11.1640625" style="9" bestFit="1" customWidth="1"/>
    <col min="60" max="61" width="11.6640625" style="9" bestFit="1" customWidth="1"/>
    <col min="62" max="69" width="11.1640625" style="9" bestFit="1" customWidth="1"/>
    <col min="70" max="70" width="12.5" style="9" bestFit="1" customWidth="1"/>
    <col min="71" max="71" width="11.1640625" style="9" bestFit="1" customWidth="1"/>
    <col min="72" max="73" width="11.6640625" style="9" bestFit="1" customWidth="1"/>
    <col min="74" max="76" width="11.1640625" style="9" bestFit="1" customWidth="1"/>
    <col min="77" max="16384" width="10.6640625" style="9"/>
  </cols>
  <sheetData>
    <row r="1" spans="1:78" x14ac:dyDescent="0.15">
      <c r="A1" s="32" t="s">
        <v>42</v>
      </c>
    </row>
    <row r="2" spans="1:78" ht="15" x14ac:dyDescent="0.15">
      <c r="A2" s="10" t="s">
        <v>43</v>
      </c>
      <c r="B2" s="11" t="s">
        <v>1197</v>
      </c>
      <c r="C2" s="11" t="s">
        <v>1198</v>
      </c>
      <c r="D2" s="11" t="s">
        <v>1199</v>
      </c>
      <c r="E2" s="11" t="s">
        <v>1200</v>
      </c>
      <c r="F2" s="11" t="s">
        <v>1201</v>
      </c>
      <c r="G2" s="11" t="s">
        <v>1202</v>
      </c>
    </row>
    <row r="3" spans="1:78" ht="15" x14ac:dyDescent="0.15">
      <c r="A3" s="12" t="s">
        <v>44</v>
      </c>
      <c r="B3" s="9">
        <v>165</v>
      </c>
      <c r="C3" s="9">
        <v>200</v>
      </c>
      <c r="D3" s="9">
        <v>240</v>
      </c>
      <c r="E3" s="9">
        <v>280</v>
      </c>
      <c r="F3" s="9">
        <v>320</v>
      </c>
      <c r="G3" s="9">
        <v>360</v>
      </c>
    </row>
    <row r="4" spans="1:78" ht="15" x14ac:dyDescent="0.15">
      <c r="A4" s="12" t="s">
        <v>45</v>
      </c>
      <c r="B4" s="9">
        <v>165</v>
      </c>
      <c r="C4" s="9">
        <v>175</v>
      </c>
      <c r="D4" s="9">
        <v>180</v>
      </c>
      <c r="E4" s="9">
        <v>185</v>
      </c>
      <c r="F4" s="9">
        <v>180</v>
      </c>
      <c r="G4" s="9">
        <v>190</v>
      </c>
    </row>
    <row r="5" spans="1:78" ht="15" x14ac:dyDescent="0.15">
      <c r="A5" s="10" t="s">
        <v>46</v>
      </c>
      <c r="B5" s="9">
        <f t="shared" ref="B5:G5" si="0">B3-B4</f>
        <v>0</v>
      </c>
      <c r="C5" s="9">
        <f t="shared" si="0"/>
        <v>25</v>
      </c>
      <c r="D5" s="9">
        <f t="shared" si="0"/>
        <v>60</v>
      </c>
      <c r="E5" s="9">
        <f t="shared" si="0"/>
        <v>95</v>
      </c>
      <c r="F5" s="9">
        <f t="shared" si="0"/>
        <v>140</v>
      </c>
      <c r="G5" s="9">
        <f t="shared" si="0"/>
        <v>170</v>
      </c>
    </row>
    <row r="6" spans="1:78" ht="15" x14ac:dyDescent="0.15">
      <c r="A6" s="12" t="s">
        <v>47</v>
      </c>
      <c r="B6" s="9">
        <v>-200</v>
      </c>
    </row>
    <row r="7" spans="1:78" ht="15" x14ac:dyDescent="0.15">
      <c r="A7" s="10" t="s">
        <v>48</v>
      </c>
      <c r="B7" s="9">
        <f>B5+B6</f>
        <v>-200</v>
      </c>
      <c r="C7" s="9">
        <f>C5-C6</f>
        <v>25</v>
      </c>
      <c r="D7" s="9">
        <f>D5-D6</f>
        <v>60</v>
      </c>
      <c r="E7" s="9">
        <f>E5-E6</f>
        <v>95</v>
      </c>
      <c r="F7" s="9">
        <f>F5-F6</f>
        <v>140</v>
      </c>
      <c r="G7" s="9">
        <f>G5-G6</f>
        <v>170</v>
      </c>
    </row>
    <row r="8" spans="1:78" ht="15" x14ac:dyDescent="0.15">
      <c r="A8" s="12" t="s">
        <v>49</v>
      </c>
      <c r="B8" s="9">
        <f>B6/2</f>
        <v>-100</v>
      </c>
      <c r="C8" s="9">
        <f>-$B8*0.05</f>
        <v>5</v>
      </c>
      <c r="D8" s="9">
        <f>-$B8*0.05</f>
        <v>5</v>
      </c>
      <c r="E8" s="9">
        <f>-$B8*0.05</f>
        <v>5</v>
      </c>
      <c r="F8" s="9">
        <f>-$B8*0.05</f>
        <v>5</v>
      </c>
      <c r="G8" s="9">
        <f>-$B8*0.05-B8</f>
        <v>105</v>
      </c>
      <c r="H8" s="13">
        <f>SUM(B8:G8)</f>
        <v>25</v>
      </c>
    </row>
    <row r="9" spans="1:78" ht="15" x14ac:dyDescent="0.15">
      <c r="A9" s="12" t="s">
        <v>50</v>
      </c>
      <c r="B9" s="9">
        <f>B6/2</f>
        <v>-100</v>
      </c>
      <c r="C9" s="9">
        <f>C7-C8</f>
        <v>20</v>
      </c>
      <c r="D9" s="9">
        <f>D7-D8</f>
        <v>55</v>
      </c>
      <c r="E9" s="9">
        <f>E7-E8</f>
        <v>90</v>
      </c>
      <c r="F9" s="9">
        <f>F7-F8</f>
        <v>135</v>
      </c>
      <c r="G9" s="9">
        <f>G7-G8</f>
        <v>65</v>
      </c>
      <c r="H9" s="13">
        <f>SUM(B9:G9)</f>
        <v>265</v>
      </c>
    </row>
    <row r="11" spans="1:78" x14ac:dyDescent="0.15">
      <c r="A11" s="32" t="s">
        <v>173</v>
      </c>
    </row>
    <row r="12" spans="1:78" s="11" customFormat="1" ht="15" x14ac:dyDescent="0.15">
      <c r="A12" s="37" t="s">
        <v>51</v>
      </c>
      <c r="C12" s="38">
        <v>2014</v>
      </c>
      <c r="D12" s="38">
        <f>C12</f>
        <v>2014</v>
      </c>
      <c r="E12" s="38">
        <f t="shared" ref="E12:N12" si="1">D12</f>
        <v>2014</v>
      </c>
      <c r="F12" s="38">
        <f t="shared" si="1"/>
        <v>2014</v>
      </c>
      <c r="G12" s="38">
        <f t="shared" si="1"/>
        <v>2014</v>
      </c>
      <c r="H12" s="38">
        <f t="shared" si="1"/>
        <v>2014</v>
      </c>
      <c r="I12" s="38">
        <f t="shared" si="1"/>
        <v>2014</v>
      </c>
      <c r="J12" s="38">
        <f t="shared" si="1"/>
        <v>2014</v>
      </c>
      <c r="K12" s="38">
        <f t="shared" si="1"/>
        <v>2014</v>
      </c>
      <c r="L12" s="38">
        <f t="shared" si="1"/>
        <v>2014</v>
      </c>
      <c r="M12" s="38">
        <f t="shared" si="1"/>
        <v>2014</v>
      </c>
      <c r="N12" s="38">
        <f t="shared" si="1"/>
        <v>2014</v>
      </c>
      <c r="O12" s="38">
        <f>+N12+1</f>
        <v>2015</v>
      </c>
      <c r="P12" s="38">
        <f>O12</f>
        <v>2015</v>
      </c>
      <c r="Q12" s="38">
        <f t="shared" ref="Q12:X12" si="2">P12</f>
        <v>2015</v>
      </c>
      <c r="R12" s="38">
        <f t="shared" si="2"/>
        <v>2015</v>
      </c>
      <c r="S12" s="38">
        <f t="shared" si="2"/>
        <v>2015</v>
      </c>
      <c r="T12" s="38">
        <f t="shared" si="2"/>
        <v>2015</v>
      </c>
      <c r="U12" s="38">
        <f t="shared" si="2"/>
        <v>2015</v>
      </c>
      <c r="V12" s="38">
        <f t="shared" si="2"/>
        <v>2015</v>
      </c>
      <c r="W12" s="38">
        <f t="shared" si="2"/>
        <v>2015</v>
      </c>
      <c r="X12" s="38">
        <f t="shared" si="2"/>
        <v>2015</v>
      </c>
      <c r="Y12" s="38">
        <f>X12</f>
        <v>2015</v>
      </c>
      <c r="Z12" s="38">
        <f>Y12</f>
        <v>2015</v>
      </c>
      <c r="AA12" s="38">
        <f>+Z12+1</f>
        <v>2016</v>
      </c>
      <c r="AB12" s="38">
        <f t="shared" ref="AB12:AL12" si="3">AA12</f>
        <v>2016</v>
      </c>
      <c r="AC12" s="38">
        <f t="shared" si="3"/>
        <v>2016</v>
      </c>
      <c r="AD12" s="38">
        <f t="shared" si="3"/>
        <v>2016</v>
      </c>
      <c r="AE12" s="38">
        <f t="shared" si="3"/>
        <v>2016</v>
      </c>
      <c r="AF12" s="38">
        <f t="shared" si="3"/>
        <v>2016</v>
      </c>
      <c r="AG12" s="38">
        <f t="shared" si="3"/>
        <v>2016</v>
      </c>
      <c r="AH12" s="38">
        <f t="shared" si="3"/>
        <v>2016</v>
      </c>
      <c r="AI12" s="38">
        <f t="shared" si="3"/>
        <v>2016</v>
      </c>
      <c r="AJ12" s="38">
        <f t="shared" si="3"/>
        <v>2016</v>
      </c>
      <c r="AK12" s="38">
        <f t="shared" si="3"/>
        <v>2016</v>
      </c>
      <c r="AL12" s="38">
        <f t="shared" si="3"/>
        <v>2016</v>
      </c>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19"/>
      <c r="BX12" s="19"/>
      <c r="BY12" s="19"/>
      <c r="BZ12" s="19"/>
    </row>
    <row r="13" spans="1:78" s="27" customFormat="1" ht="15" x14ac:dyDescent="0.15">
      <c r="A13" s="37" t="s">
        <v>43</v>
      </c>
      <c r="B13" s="39" t="s">
        <v>962</v>
      </c>
      <c r="C13" s="40">
        <v>40544</v>
      </c>
      <c r="D13" s="40">
        <f>DATE(2011,COLUMN(C11)-1,1)</f>
        <v>40575</v>
      </c>
      <c r="E13" s="40">
        <f t="shared" ref="E13:N13" si="4">DATE(2011,COLUMN(D11)-1,1)</f>
        <v>40603</v>
      </c>
      <c r="F13" s="40">
        <f t="shared" si="4"/>
        <v>40634</v>
      </c>
      <c r="G13" s="40">
        <f t="shared" si="4"/>
        <v>40664</v>
      </c>
      <c r="H13" s="40">
        <f t="shared" si="4"/>
        <v>40695</v>
      </c>
      <c r="I13" s="40">
        <f t="shared" si="4"/>
        <v>40725</v>
      </c>
      <c r="J13" s="40">
        <f t="shared" si="4"/>
        <v>40756</v>
      </c>
      <c r="K13" s="40">
        <f t="shared" si="4"/>
        <v>40787</v>
      </c>
      <c r="L13" s="40">
        <f t="shared" si="4"/>
        <v>40817</v>
      </c>
      <c r="M13" s="40">
        <f t="shared" si="4"/>
        <v>40848</v>
      </c>
      <c r="N13" s="40">
        <f t="shared" si="4"/>
        <v>40878</v>
      </c>
      <c r="O13" s="40">
        <f>DATE(2011,COLUMN(N11)-1,1)</f>
        <v>40909</v>
      </c>
      <c r="P13" s="40">
        <f t="shared" ref="P13:AL13" si="5">DATE(2011,COLUMN(O11)-1,1)</f>
        <v>40940</v>
      </c>
      <c r="Q13" s="40">
        <f t="shared" si="5"/>
        <v>40969</v>
      </c>
      <c r="R13" s="40">
        <f t="shared" si="5"/>
        <v>41000</v>
      </c>
      <c r="S13" s="40">
        <f t="shared" si="5"/>
        <v>41030</v>
      </c>
      <c r="T13" s="40">
        <f t="shared" si="5"/>
        <v>41061</v>
      </c>
      <c r="U13" s="40">
        <f t="shared" si="5"/>
        <v>41091</v>
      </c>
      <c r="V13" s="40">
        <f t="shared" si="5"/>
        <v>41122</v>
      </c>
      <c r="W13" s="40">
        <f t="shared" si="5"/>
        <v>41153</v>
      </c>
      <c r="X13" s="40">
        <f t="shared" si="5"/>
        <v>41183</v>
      </c>
      <c r="Y13" s="40">
        <f t="shared" si="5"/>
        <v>41214</v>
      </c>
      <c r="Z13" s="40">
        <f t="shared" si="5"/>
        <v>41244</v>
      </c>
      <c r="AA13" s="40">
        <f t="shared" si="5"/>
        <v>41275</v>
      </c>
      <c r="AB13" s="40">
        <f t="shared" si="5"/>
        <v>41306</v>
      </c>
      <c r="AC13" s="40">
        <f t="shared" si="5"/>
        <v>41334</v>
      </c>
      <c r="AD13" s="40">
        <f t="shared" si="5"/>
        <v>41365</v>
      </c>
      <c r="AE13" s="40">
        <f t="shared" si="5"/>
        <v>41395</v>
      </c>
      <c r="AF13" s="40">
        <f t="shared" si="5"/>
        <v>41426</v>
      </c>
      <c r="AG13" s="40">
        <f t="shared" si="5"/>
        <v>41456</v>
      </c>
      <c r="AH13" s="40">
        <f t="shared" si="5"/>
        <v>41487</v>
      </c>
      <c r="AI13" s="40">
        <f t="shared" si="5"/>
        <v>41518</v>
      </c>
      <c r="AJ13" s="40">
        <f t="shared" si="5"/>
        <v>41548</v>
      </c>
      <c r="AK13" s="40">
        <f t="shared" si="5"/>
        <v>41579</v>
      </c>
      <c r="AL13" s="40">
        <f t="shared" si="5"/>
        <v>41609</v>
      </c>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1"/>
      <c r="BX13" s="41"/>
      <c r="BY13" s="41"/>
      <c r="BZ13" s="41"/>
    </row>
    <row r="14" spans="1:78" ht="15" x14ac:dyDescent="0.15">
      <c r="A14" s="12" t="s">
        <v>44</v>
      </c>
      <c r="B14" s="14">
        <f>SUM(C14:BY14)</f>
        <v>384</v>
      </c>
      <c r="C14" s="15"/>
      <c r="D14" s="15"/>
      <c r="E14" s="15"/>
      <c r="F14" s="15"/>
      <c r="G14" s="15">
        <v>12</v>
      </c>
      <c r="H14" s="15">
        <v>12</v>
      </c>
      <c r="I14" s="15">
        <v>12</v>
      </c>
      <c r="J14" s="15">
        <v>12</v>
      </c>
      <c r="K14" s="15">
        <v>12</v>
      </c>
      <c r="L14" s="15">
        <v>12</v>
      </c>
      <c r="M14" s="15">
        <v>12</v>
      </c>
      <c r="N14" s="15">
        <v>12</v>
      </c>
      <c r="O14" s="15">
        <v>12</v>
      </c>
      <c r="P14" s="15">
        <v>12</v>
      </c>
      <c r="Q14" s="15">
        <v>12</v>
      </c>
      <c r="R14" s="15">
        <v>12</v>
      </c>
      <c r="S14" s="15">
        <v>12</v>
      </c>
      <c r="T14" s="15">
        <v>12</v>
      </c>
      <c r="U14" s="15">
        <v>12</v>
      </c>
      <c r="V14" s="15">
        <v>12</v>
      </c>
      <c r="W14" s="15">
        <v>12</v>
      </c>
      <c r="X14" s="15">
        <v>12</v>
      </c>
      <c r="Y14" s="15">
        <v>12</v>
      </c>
      <c r="Z14" s="15">
        <v>12</v>
      </c>
      <c r="AA14" s="15">
        <v>12</v>
      </c>
      <c r="AB14" s="15">
        <v>12</v>
      </c>
      <c r="AC14" s="15">
        <v>12</v>
      </c>
      <c r="AD14" s="15">
        <v>12</v>
      </c>
      <c r="AE14" s="15">
        <v>12</v>
      </c>
      <c r="AF14" s="15">
        <v>12</v>
      </c>
      <c r="AG14" s="15">
        <v>12</v>
      </c>
      <c r="AH14" s="15">
        <v>12</v>
      </c>
      <c r="AI14" s="15">
        <v>12</v>
      </c>
      <c r="AJ14" s="15">
        <v>12</v>
      </c>
      <c r="AK14" s="15">
        <v>12</v>
      </c>
      <c r="AL14" s="15">
        <v>12</v>
      </c>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6"/>
      <c r="BX14" s="16"/>
      <c r="BY14" s="16"/>
      <c r="BZ14" s="16"/>
    </row>
    <row r="15" spans="1:78" ht="15" x14ac:dyDescent="0.15">
      <c r="A15" s="12" t="s">
        <v>45</v>
      </c>
      <c r="B15" s="17">
        <f t="shared" ref="B15:B25" si="6">SUM(C15:BY15)</f>
        <v>350</v>
      </c>
      <c r="C15" s="15">
        <f>SUM(C16:C18)</f>
        <v>4</v>
      </c>
      <c r="D15" s="15">
        <f t="shared" ref="D15:AL15" si="7">SUM(D16:D18)</f>
        <v>6</v>
      </c>
      <c r="E15" s="15">
        <f t="shared" si="7"/>
        <v>6</v>
      </c>
      <c r="F15" s="15">
        <f>SUM(F16:F18)</f>
        <v>14</v>
      </c>
      <c r="G15" s="15">
        <f t="shared" si="7"/>
        <v>10</v>
      </c>
      <c r="H15" s="15">
        <f t="shared" si="7"/>
        <v>10</v>
      </c>
      <c r="I15" s="15">
        <f t="shared" si="7"/>
        <v>10</v>
      </c>
      <c r="J15" s="15">
        <f t="shared" si="7"/>
        <v>10</v>
      </c>
      <c r="K15" s="15">
        <f t="shared" si="7"/>
        <v>10</v>
      </c>
      <c r="L15" s="15">
        <f t="shared" si="7"/>
        <v>10</v>
      </c>
      <c r="M15" s="15">
        <f t="shared" si="7"/>
        <v>10</v>
      </c>
      <c r="N15" s="15">
        <f t="shared" si="7"/>
        <v>10</v>
      </c>
      <c r="O15" s="15">
        <f t="shared" si="7"/>
        <v>10</v>
      </c>
      <c r="P15" s="15">
        <f t="shared" si="7"/>
        <v>10</v>
      </c>
      <c r="Q15" s="15">
        <f t="shared" si="7"/>
        <v>10</v>
      </c>
      <c r="R15" s="15">
        <f t="shared" si="7"/>
        <v>10</v>
      </c>
      <c r="S15" s="15">
        <f t="shared" si="7"/>
        <v>10</v>
      </c>
      <c r="T15" s="15">
        <f t="shared" si="7"/>
        <v>10</v>
      </c>
      <c r="U15" s="15">
        <f t="shared" si="7"/>
        <v>10</v>
      </c>
      <c r="V15" s="15">
        <f t="shared" si="7"/>
        <v>10</v>
      </c>
      <c r="W15" s="15">
        <f t="shared" si="7"/>
        <v>10</v>
      </c>
      <c r="X15" s="15">
        <f t="shared" si="7"/>
        <v>10</v>
      </c>
      <c r="Y15" s="15">
        <f t="shared" si="7"/>
        <v>10</v>
      </c>
      <c r="Z15" s="15">
        <f t="shared" si="7"/>
        <v>10</v>
      </c>
      <c r="AA15" s="15">
        <f t="shared" si="7"/>
        <v>10</v>
      </c>
      <c r="AB15" s="15">
        <f t="shared" si="7"/>
        <v>10</v>
      </c>
      <c r="AC15" s="15">
        <f t="shared" si="7"/>
        <v>10</v>
      </c>
      <c r="AD15" s="15">
        <f t="shared" si="7"/>
        <v>10</v>
      </c>
      <c r="AE15" s="15">
        <f t="shared" si="7"/>
        <v>10</v>
      </c>
      <c r="AF15" s="15">
        <f t="shared" si="7"/>
        <v>10</v>
      </c>
      <c r="AG15" s="15">
        <f t="shared" si="7"/>
        <v>10</v>
      </c>
      <c r="AH15" s="15">
        <f t="shared" si="7"/>
        <v>10</v>
      </c>
      <c r="AI15" s="15">
        <f t="shared" si="7"/>
        <v>10</v>
      </c>
      <c r="AJ15" s="15">
        <f t="shared" si="7"/>
        <v>10</v>
      </c>
      <c r="AK15" s="15">
        <f t="shared" si="7"/>
        <v>10</v>
      </c>
      <c r="AL15" s="15">
        <f t="shared" si="7"/>
        <v>10</v>
      </c>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6"/>
      <c r="BX15" s="16"/>
      <c r="BY15" s="16"/>
      <c r="BZ15" s="16"/>
    </row>
    <row r="16" spans="1:78" ht="15" x14ac:dyDescent="0.15">
      <c r="A16" s="36" t="s">
        <v>285</v>
      </c>
      <c r="B16" s="17">
        <f t="shared" si="6"/>
        <v>136</v>
      </c>
      <c r="C16" s="15"/>
      <c r="D16" s="15"/>
      <c r="E16" s="15"/>
      <c r="F16" s="15">
        <v>8</v>
      </c>
      <c r="G16" s="15">
        <v>4</v>
      </c>
      <c r="H16" s="15">
        <v>4</v>
      </c>
      <c r="I16" s="15">
        <v>4</v>
      </c>
      <c r="J16" s="15">
        <v>4</v>
      </c>
      <c r="K16" s="15">
        <v>4</v>
      </c>
      <c r="L16" s="15">
        <v>4</v>
      </c>
      <c r="M16" s="15">
        <v>4</v>
      </c>
      <c r="N16" s="15">
        <v>4</v>
      </c>
      <c r="O16" s="15">
        <v>4</v>
      </c>
      <c r="P16" s="15">
        <v>4</v>
      </c>
      <c r="Q16" s="15">
        <v>4</v>
      </c>
      <c r="R16" s="15">
        <v>4</v>
      </c>
      <c r="S16" s="15">
        <v>4</v>
      </c>
      <c r="T16" s="15">
        <v>4</v>
      </c>
      <c r="U16" s="15">
        <v>4</v>
      </c>
      <c r="V16" s="15">
        <v>4</v>
      </c>
      <c r="W16" s="15">
        <v>4</v>
      </c>
      <c r="X16" s="15">
        <v>4</v>
      </c>
      <c r="Y16" s="15">
        <v>4</v>
      </c>
      <c r="Z16" s="15">
        <v>4</v>
      </c>
      <c r="AA16" s="15">
        <v>4</v>
      </c>
      <c r="AB16" s="15">
        <v>4</v>
      </c>
      <c r="AC16" s="15">
        <v>4</v>
      </c>
      <c r="AD16" s="15">
        <v>4</v>
      </c>
      <c r="AE16" s="15">
        <v>4</v>
      </c>
      <c r="AF16" s="15">
        <v>4</v>
      </c>
      <c r="AG16" s="15">
        <v>4</v>
      </c>
      <c r="AH16" s="15">
        <v>4</v>
      </c>
      <c r="AI16" s="15">
        <v>4</v>
      </c>
      <c r="AJ16" s="15">
        <v>4</v>
      </c>
      <c r="AK16" s="15">
        <v>4</v>
      </c>
      <c r="AL16" s="15">
        <v>4</v>
      </c>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6"/>
      <c r="BX16" s="16"/>
      <c r="BY16" s="16"/>
      <c r="BZ16" s="16"/>
    </row>
    <row r="17" spans="1:78" ht="15" x14ac:dyDescent="0.15">
      <c r="A17" s="36" t="s">
        <v>231</v>
      </c>
      <c r="B17" s="17">
        <f t="shared" si="6"/>
        <v>70</v>
      </c>
      <c r="C17" s="15">
        <v>0</v>
      </c>
      <c r="D17" s="15">
        <v>2</v>
      </c>
      <c r="E17" s="15">
        <v>2</v>
      </c>
      <c r="F17" s="15">
        <v>2</v>
      </c>
      <c r="G17" s="15">
        <v>2</v>
      </c>
      <c r="H17" s="15">
        <v>2</v>
      </c>
      <c r="I17" s="15">
        <v>2</v>
      </c>
      <c r="J17" s="15">
        <v>2</v>
      </c>
      <c r="K17" s="15">
        <v>2</v>
      </c>
      <c r="L17" s="15">
        <v>2</v>
      </c>
      <c r="M17" s="15">
        <v>2</v>
      </c>
      <c r="N17" s="15">
        <v>2</v>
      </c>
      <c r="O17" s="15">
        <v>2</v>
      </c>
      <c r="P17" s="15">
        <v>2</v>
      </c>
      <c r="Q17" s="15">
        <v>2</v>
      </c>
      <c r="R17" s="15">
        <v>2</v>
      </c>
      <c r="S17" s="15">
        <v>2</v>
      </c>
      <c r="T17" s="15">
        <v>2</v>
      </c>
      <c r="U17" s="15">
        <v>2</v>
      </c>
      <c r="V17" s="15">
        <v>2</v>
      </c>
      <c r="W17" s="15">
        <v>2</v>
      </c>
      <c r="X17" s="15">
        <v>2</v>
      </c>
      <c r="Y17" s="15">
        <v>2</v>
      </c>
      <c r="Z17" s="15">
        <v>2</v>
      </c>
      <c r="AA17" s="15">
        <v>2</v>
      </c>
      <c r="AB17" s="15">
        <v>2</v>
      </c>
      <c r="AC17" s="15">
        <v>2</v>
      </c>
      <c r="AD17" s="15">
        <v>2</v>
      </c>
      <c r="AE17" s="15">
        <v>2</v>
      </c>
      <c r="AF17" s="15">
        <v>2</v>
      </c>
      <c r="AG17" s="15">
        <v>2</v>
      </c>
      <c r="AH17" s="15">
        <v>2</v>
      </c>
      <c r="AI17" s="15">
        <v>2</v>
      </c>
      <c r="AJ17" s="15">
        <v>2</v>
      </c>
      <c r="AK17" s="15">
        <v>2</v>
      </c>
      <c r="AL17" s="15">
        <v>2</v>
      </c>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6"/>
      <c r="BX17" s="16"/>
      <c r="BY17" s="16"/>
      <c r="BZ17" s="16"/>
    </row>
    <row r="18" spans="1:78" ht="15" x14ac:dyDescent="0.15">
      <c r="A18" s="36" t="s">
        <v>232</v>
      </c>
      <c r="B18" s="17">
        <f t="shared" si="6"/>
        <v>144</v>
      </c>
      <c r="C18" s="15">
        <v>4</v>
      </c>
      <c r="D18" s="15">
        <v>4</v>
      </c>
      <c r="E18" s="15">
        <v>4</v>
      </c>
      <c r="F18" s="15">
        <v>4</v>
      </c>
      <c r="G18" s="15">
        <v>4</v>
      </c>
      <c r="H18" s="15">
        <v>4</v>
      </c>
      <c r="I18" s="15">
        <v>4</v>
      </c>
      <c r="J18" s="15">
        <v>4</v>
      </c>
      <c r="K18" s="15">
        <v>4</v>
      </c>
      <c r="L18" s="15">
        <v>4</v>
      </c>
      <c r="M18" s="15">
        <v>4</v>
      </c>
      <c r="N18" s="15">
        <v>4</v>
      </c>
      <c r="O18" s="15">
        <v>4</v>
      </c>
      <c r="P18" s="15">
        <v>4</v>
      </c>
      <c r="Q18" s="15">
        <v>4</v>
      </c>
      <c r="R18" s="15">
        <v>4</v>
      </c>
      <c r="S18" s="15">
        <v>4</v>
      </c>
      <c r="T18" s="15">
        <v>4</v>
      </c>
      <c r="U18" s="15">
        <v>4</v>
      </c>
      <c r="V18" s="15">
        <v>4</v>
      </c>
      <c r="W18" s="15">
        <v>4</v>
      </c>
      <c r="X18" s="15">
        <v>4</v>
      </c>
      <c r="Y18" s="15">
        <v>4</v>
      </c>
      <c r="Z18" s="15">
        <v>4</v>
      </c>
      <c r="AA18" s="15">
        <v>4</v>
      </c>
      <c r="AB18" s="15">
        <v>4</v>
      </c>
      <c r="AC18" s="15">
        <v>4</v>
      </c>
      <c r="AD18" s="15">
        <v>4</v>
      </c>
      <c r="AE18" s="15">
        <v>4</v>
      </c>
      <c r="AF18" s="15">
        <v>4</v>
      </c>
      <c r="AG18" s="15">
        <v>4</v>
      </c>
      <c r="AH18" s="15">
        <v>4</v>
      </c>
      <c r="AI18" s="15">
        <v>4</v>
      </c>
      <c r="AJ18" s="15">
        <v>4</v>
      </c>
      <c r="AK18" s="15">
        <v>4</v>
      </c>
      <c r="AL18" s="15">
        <v>4</v>
      </c>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6"/>
      <c r="BX18" s="16"/>
      <c r="BY18" s="16"/>
      <c r="BZ18" s="16"/>
    </row>
    <row r="19" spans="1:78" ht="15" x14ac:dyDescent="0.15">
      <c r="A19" s="10" t="s">
        <v>46</v>
      </c>
      <c r="B19" s="17">
        <f t="shared" si="6"/>
        <v>34</v>
      </c>
      <c r="C19" s="15">
        <f>C14-C15</f>
        <v>-4</v>
      </c>
      <c r="D19" s="15">
        <f t="shared" ref="D19:AL19" si="8">D14-D15</f>
        <v>-6</v>
      </c>
      <c r="E19" s="15">
        <f t="shared" si="8"/>
        <v>-6</v>
      </c>
      <c r="F19" s="15">
        <f t="shared" si="8"/>
        <v>-14</v>
      </c>
      <c r="G19" s="15">
        <f t="shared" si="8"/>
        <v>2</v>
      </c>
      <c r="H19" s="15">
        <f t="shared" si="8"/>
        <v>2</v>
      </c>
      <c r="I19" s="15">
        <f t="shared" si="8"/>
        <v>2</v>
      </c>
      <c r="J19" s="15">
        <f t="shared" si="8"/>
        <v>2</v>
      </c>
      <c r="K19" s="15">
        <f t="shared" si="8"/>
        <v>2</v>
      </c>
      <c r="L19" s="15">
        <f t="shared" si="8"/>
        <v>2</v>
      </c>
      <c r="M19" s="15">
        <f t="shared" si="8"/>
        <v>2</v>
      </c>
      <c r="N19" s="15">
        <f t="shared" si="8"/>
        <v>2</v>
      </c>
      <c r="O19" s="15">
        <f t="shared" si="8"/>
        <v>2</v>
      </c>
      <c r="P19" s="15">
        <f t="shared" si="8"/>
        <v>2</v>
      </c>
      <c r="Q19" s="15">
        <f t="shared" si="8"/>
        <v>2</v>
      </c>
      <c r="R19" s="15">
        <f t="shared" si="8"/>
        <v>2</v>
      </c>
      <c r="S19" s="15">
        <f t="shared" si="8"/>
        <v>2</v>
      </c>
      <c r="T19" s="15">
        <f t="shared" si="8"/>
        <v>2</v>
      </c>
      <c r="U19" s="15">
        <f t="shared" si="8"/>
        <v>2</v>
      </c>
      <c r="V19" s="15">
        <f t="shared" si="8"/>
        <v>2</v>
      </c>
      <c r="W19" s="15">
        <f t="shared" si="8"/>
        <v>2</v>
      </c>
      <c r="X19" s="15">
        <f t="shared" si="8"/>
        <v>2</v>
      </c>
      <c r="Y19" s="15">
        <f t="shared" si="8"/>
        <v>2</v>
      </c>
      <c r="Z19" s="15">
        <f t="shared" si="8"/>
        <v>2</v>
      </c>
      <c r="AA19" s="15">
        <f t="shared" si="8"/>
        <v>2</v>
      </c>
      <c r="AB19" s="15">
        <f t="shared" si="8"/>
        <v>2</v>
      </c>
      <c r="AC19" s="15">
        <f t="shared" si="8"/>
        <v>2</v>
      </c>
      <c r="AD19" s="15">
        <f t="shared" si="8"/>
        <v>2</v>
      </c>
      <c r="AE19" s="15">
        <f t="shared" si="8"/>
        <v>2</v>
      </c>
      <c r="AF19" s="15">
        <f t="shared" si="8"/>
        <v>2</v>
      </c>
      <c r="AG19" s="15">
        <f t="shared" si="8"/>
        <v>2</v>
      </c>
      <c r="AH19" s="15">
        <f t="shared" si="8"/>
        <v>2</v>
      </c>
      <c r="AI19" s="15">
        <f t="shared" si="8"/>
        <v>2</v>
      </c>
      <c r="AJ19" s="15">
        <f t="shared" si="8"/>
        <v>2</v>
      </c>
      <c r="AK19" s="15">
        <f t="shared" si="8"/>
        <v>2</v>
      </c>
      <c r="AL19" s="15">
        <f t="shared" si="8"/>
        <v>2</v>
      </c>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6"/>
      <c r="BX19" s="16"/>
      <c r="BY19" s="16"/>
      <c r="BZ19" s="16"/>
    </row>
    <row r="20" spans="1:78" ht="15" x14ac:dyDescent="0.15">
      <c r="A20" s="12" t="s">
        <v>47</v>
      </c>
      <c r="B20" s="17">
        <f t="shared" si="6"/>
        <v>-30</v>
      </c>
      <c r="C20" s="15">
        <v>-30</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6"/>
      <c r="BX20" s="16"/>
      <c r="BY20" s="16"/>
      <c r="BZ20" s="16"/>
    </row>
    <row r="21" spans="1:78" ht="15" x14ac:dyDescent="0.15">
      <c r="A21" s="10" t="s">
        <v>48</v>
      </c>
      <c r="B21" s="17">
        <f t="shared" si="6"/>
        <v>4</v>
      </c>
      <c r="C21" s="15">
        <f>SUM(C19:C20)</f>
        <v>-34</v>
      </c>
      <c r="D21" s="15">
        <f t="shared" ref="D21:AL21" si="9">SUM(D19:D20)</f>
        <v>-6</v>
      </c>
      <c r="E21" s="15">
        <f t="shared" si="9"/>
        <v>-6</v>
      </c>
      <c r="F21" s="15">
        <f t="shared" si="9"/>
        <v>-14</v>
      </c>
      <c r="G21" s="15">
        <f t="shared" si="9"/>
        <v>2</v>
      </c>
      <c r="H21" s="15">
        <f t="shared" si="9"/>
        <v>2</v>
      </c>
      <c r="I21" s="15">
        <f t="shared" si="9"/>
        <v>2</v>
      </c>
      <c r="J21" s="15">
        <f t="shared" si="9"/>
        <v>2</v>
      </c>
      <c r="K21" s="15">
        <f t="shared" si="9"/>
        <v>2</v>
      </c>
      <c r="L21" s="15">
        <f t="shared" si="9"/>
        <v>2</v>
      </c>
      <c r="M21" s="15">
        <f t="shared" si="9"/>
        <v>2</v>
      </c>
      <c r="N21" s="15">
        <f t="shared" si="9"/>
        <v>2</v>
      </c>
      <c r="O21" s="15">
        <f t="shared" si="9"/>
        <v>2</v>
      </c>
      <c r="P21" s="15">
        <f t="shared" si="9"/>
        <v>2</v>
      </c>
      <c r="Q21" s="15">
        <f t="shared" si="9"/>
        <v>2</v>
      </c>
      <c r="R21" s="15">
        <f t="shared" si="9"/>
        <v>2</v>
      </c>
      <c r="S21" s="15">
        <f t="shared" si="9"/>
        <v>2</v>
      </c>
      <c r="T21" s="15">
        <f t="shared" si="9"/>
        <v>2</v>
      </c>
      <c r="U21" s="15">
        <f t="shared" si="9"/>
        <v>2</v>
      </c>
      <c r="V21" s="15">
        <f t="shared" si="9"/>
        <v>2</v>
      </c>
      <c r="W21" s="15">
        <f t="shared" si="9"/>
        <v>2</v>
      </c>
      <c r="X21" s="15">
        <f t="shared" si="9"/>
        <v>2</v>
      </c>
      <c r="Y21" s="15">
        <f t="shared" si="9"/>
        <v>2</v>
      </c>
      <c r="Z21" s="15">
        <f t="shared" si="9"/>
        <v>2</v>
      </c>
      <c r="AA21" s="15">
        <f t="shared" si="9"/>
        <v>2</v>
      </c>
      <c r="AB21" s="15">
        <f t="shared" si="9"/>
        <v>2</v>
      </c>
      <c r="AC21" s="15">
        <f t="shared" si="9"/>
        <v>2</v>
      </c>
      <c r="AD21" s="15">
        <f t="shared" si="9"/>
        <v>2</v>
      </c>
      <c r="AE21" s="15">
        <f t="shared" si="9"/>
        <v>2</v>
      </c>
      <c r="AF21" s="15">
        <f t="shared" si="9"/>
        <v>2</v>
      </c>
      <c r="AG21" s="15">
        <f t="shared" si="9"/>
        <v>2</v>
      </c>
      <c r="AH21" s="15">
        <f t="shared" si="9"/>
        <v>2</v>
      </c>
      <c r="AI21" s="15">
        <f t="shared" si="9"/>
        <v>2</v>
      </c>
      <c r="AJ21" s="15">
        <f t="shared" si="9"/>
        <v>2</v>
      </c>
      <c r="AK21" s="15">
        <f t="shared" si="9"/>
        <v>2</v>
      </c>
      <c r="AL21" s="15">
        <f t="shared" si="9"/>
        <v>2</v>
      </c>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6"/>
      <c r="BX21" s="16"/>
      <c r="BY21" s="16"/>
      <c r="BZ21" s="16"/>
    </row>
    <row r="22" spans="1:78" ht="15" x14ac:dyDescent="0.15">
      <c r="A22" s="12" t="s">
        <v>49</v>
      </c>
      <c r="B22" s="17">
        <f t="shared" si="6"/>
        <v>-3.5</v>
      </c>
      <c r="C22" s="15">
        <f>SUM(C23:C24)</f>
        <v>-18</v>
      </c>
      <c r="D22" s="15">
        <f t="shared" ref="D22:AL22" si="10">SUM(D23:D24)</f>
        <v>0</v>
      </c>
      <c r="E22" s="15">
        <f t="shared" si="10"/>
        <v>0</v>
      </c>
      <c r="F22" s="15">
        <f t="shared" si="10"/>
        <v>0</v>
      </c>
      <c r="G22" s="15">
        <f t="shared" si="10"/>
        <v>0</v>
      </c>
      <c r="H22" s="15">
        <f t="shared" si="10"/>
        <v>1</v>
      </c>
      <c r="I22" s="15">
        <f t="shared" si="10"/>
        <v>2</v>
      </c>
      <c r="J22" s="15">
        <f t="shared" si="10"/>
        <v>0</v>
      </c>
      <c r="K22" s="15">
        <f t="shared" si="10"/>
        <v>0</v>
      </c>
      <c r="L22" s="15">
        <f t="shared" si="10"/>
        <v>0</v>
      </c>
      <c r="M22" s="15">
        <f t="shared" si="10"/>
        <v>0</v>
      </c>
      <c r="N22" s="15">
        <f t="shared" si="10"/>
        <v>0.9</v>
      </c>
      <c r="O22" s="15">
        <f t="shared" si="10"/>
        <v>2</v>
      </c>
      <c r="P22" s="15">
        <f t="shared" si="10"/>
        <v>0</v>
      </c>
      <c r="Q22" s="15">
        <f t="shared" si="10"/>
        <v>0</v>
      </c>
      <c r="R22" s="15">
        <f t="shared" si="10"/>
        <v>0</v>
      </c>
      <c r="S22" s="15">
        <f t="shared" si="10"/>
        <v>0</v>
      </c>
      <c r="T22" s="15">
        <f t="shared" si="10"/>
        <v>0.8</v>
      </c>
      <c r="U22" s="15">
        <f t="shared" si="10"/>
        <v>2</v>
      </c>
      <c r="V22" s="15">
        <f t="shared" si="10"/>
        <v>0</v>
      </c>
      <c r="W22" s="15">
        <f t="shared" si="10"/>
        <v>0</v>
      </c>
      <c r="X22" s="15">
        <f t="shared" si="10"/>
        <v>0</v>
      </c>
      <c r="Y22" s="15">
        <f t="shared" si="10"/>
        <v>0</v>
      </c>
      <c r="Z22" s="15">
        <f t="shared" si="10"/>
        <v>0.7</v>
      </c>
      <c r="AA22" s="15">
        <f t="shared" si="10"/>
        <v>2</v>
      </c>
      <c r="AB22" s="15">
        <f t="shared" si="10"/>
        <v>0</v>
      </c>
      <c r="AC22" s="15">
        <f t="shared" si="10"/>
        <v>0</v>
      </c>
      <c r="AD22" s="15">
        <f t="shared" si="10"/>
        <v>0</v>
      </c>
      <c r="AE22" s="15">
        <f t="shared" si="10"/>
        <v>0</v>
      </c>
      <c r="AF22" s="15">
        <f t="shared" si="10"/>
        <v>0.6</v>
      </c>
      <c r="AG22" s="15">
        <f t="shared" si="10"/>
        <v>2</v>
      </c>
      <c r="AH22" s="15">
        <f t="shared" si="10"/>
        <v>0</v>
      </c>
      <c r="AI22" s="15">
        <f t="shared" si="10"/>
        <v>0</v>
      </c>
      <c r="AJ22" s="15">
        <f t="shared" si="10"/>
        <v>0</v>
      </c>
      <c r="AK22" s="15">
        <f t="shared" si="10"/>
        <v>0</v>
      </c>
      <c r="AL22" s="15">
        <f t="shared" si="10"/>
        <v>0.5</v>
      </c>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6"/>
      <c r="BX22" s="16"/>
      <c r="BY22" s="16"/>
      <c r="BZ22" s="16"/>
    </row>
    <row r="23" spans="1:78" ht="15" x14ac:dyDescent="0.15">
      <c r="A23" s="36" t="s">
        <v>172</v>
      </c>
      <c r="B23" s="17">
        <f t="shared" si="6"/>
        <v>-8</v>
      </c>
      <c r="C23" s="15">
        <f>-20+2</f>
        <v>-18</v>
      </c>
      <c r="D23" s="15"/>
      <c r="E23" s="15"/>
      <c r="F23" s="15"/>
      <c r="G23" s="15"/>
      <c r="H23" s="15"/>
      <c r="I23" s="15">
        <v>2</v>
      </c>
      <c r="J23" s="15"/>
      <c r="K23" s="15"/>
      <c r="L23" s="15"/>
      <c r="M23" s="15"/>
      <c r="N23" s="15"/>
      <c r="O23" s="15">
        <v>2</v>
      </c>
      <c r="P23" s="15"/>
      <c r="Q23" s="15"/>
      <c r="R23" s="15"/>
      <c r="S23" s="15"/>
      <c r="T23" s="15"/>
      <c r="U23" s="15">
        <v>2</v>
      </c>
      <c r="V23" s="15"/>
      <c r="W23" s="15"/>
      <c r="X23" s="15"/>
      <c r="Y23" s="15"/>
      <c r="Z23" s="15"/>
      <c r="AA23" s="15">
        <v>2</v>
      </c>
      <c r="AB23" s="15"/>
      <c r="AC23" s="15"/>
      <c r="AD23" s="15"/>
      <c r="AE23" s="15"/>
      <c r="AF23" s="15"/>
      <c r="AG23" s="15">
        <v>2</v>
      </c>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6"/>
      <c r="BX23" s="16"/>
      <c r="BY23" s="16"/>
      <c r="BZ23" s="16"/>
    </row>
    <row r="24" spans="1:78" ht="15" x14ac:dyDescent="0.15">
      <c r="A24" s="36" t="s">
        <v>52</v>
      </c>
      <c r="B24" s="17">
        <f t="shared" si="6"/>
        <v>4.5</v>
      </c>
      <c r="C24" s="15"/>
      <c r="D24" s="15"/>
      <c r="E24" s="15"/>
      <c r="F24" s="15"/>
      <c r="G24" s="15"/>
      <c r="H24" s="15">
        <v>1</v>
      </c>
      <c r="I24" s="15"/>
      <c r="J24" s="15"/>
      <c r="K24" s="15"/>
      <c r="L24" s="15"/>
      <c r="M24" s="15"/>
      <c r="N24" s="15">
        <v>0.9</v>
      </c>
      <c r="O24" s="15"/>
      <c r="P24" s="15"/>
      <c r="Q24" s="15"/>
      <c r="R24" s="15"/>
      <c r="S24" s="15"/>
      <c r="T24" s="15">
        <v>0.8</v>
      </c>
      <c r="U24" s="15"/>
      <c r="V24" s="15"/>
      <c r="W24" s="15"/>
      <c r="X24" s="15"/>
      <c r="Y24" s="15"/>
      <c r="Z24" s="15">
        <v>0.7</v>
      </c>
      <c r="AA24" s="15"/>
      <c r="AB24" s="15"/>
      <c r="AC24" s="15"/>
      <c r="AD24" s="15"/>
      <c r="AE24" s="15"/>
      <c r="AF24" s="15">
        <v>0.6</v>
      </c>
      <c r="AG24" s="15"/>
      <c r="AH24" s="15"/>
      <c r="AI24" s="15"/>
      <c r="AJ24" s="15"/>
      <c r="AK24" s="15"/>
      <c r="AL24" s="15">
        <v>0.5</v>
      </c>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6"/>
      <c r="BX24" s="16"/>
      <c r="BY24" s="16"/>
      <c r="BZ24" s="16"/>
    </row>
    <row r="25" spans="1:78" ht="15" x14ac:dyDescent="0.15">
      <c r="A25" s="12" t="s">
        <v>50</v>
      </c>
      <c r="B25" s="18">
        <f t="shared" si="6"/>
        <v>7.5000000000000018</v>
      </c>
      <c r="C25" s="15">
        <f>C21-C22</f>
        <v>-16</v>
      </c>
      <c r="D25" s="15">
        <f t="shared" ref="D25:AL25" si="11">D21-D22</f>
        <v>-6</v>
      </c>
      <c r="E25" s="15">
        <f t="shared" si="11"/>
        <v>-6</v>
      </c>
      <c r="F25" s="15">
        <f t="shared" si="11"/>
        <v>-14</v>
      </c>
      <c r="G25" s="15">
        <f t="shared" si="11"/>
        <v>2</v>
      </c>
      <c r="H25" s="15">
        <f t="shared" si="11"/>
        <v>1</v>
      </c>
      <c r="I25" s="15">
        <f t="shared" si="11"/>
        <v>0</v>
      </c>
      <c r="J25" s="15">
        <f t="shared" si="11"/>
        <v>2</v>
      </c>
      <c r="K25" s="15">
        <f t="shared" si="11"/>
        <v>2</v>
      </c>
      <c r="L25" s="15">
        <f t="shared" si="11"/>
        <v>2</v>
      </c>
      <c r="M25" s="15">
        <f t="shared" si="11"/>
        <v>2</v>
      </c>
      <c r="N25" s="15">
        <f t="shared" si="11"/>
        <v>1.1000000000000001</v>
      </c>
      <c r="O25" s="15">
        <f t="shared" si="11"/>
        <v>0</v>
      </c>
      <c r="P25" s="15">
        <f t="shared" si="11"/>
        <v>2</v>
      </c>
      <c r="Q25" s="15">
        <f t="shared" si="11"/>
        <v>2</v>
      </c>
      <c r="R25" s="15">
        <f t="shared" si="11"/>
        <v>2</v>
      </c>
      <c r="S25" s="15">
        <f t="shared" si="11"/>
        <v>2</v>
      </c>
      <c r="T25" s="15">
        <f t="shared" si="11"/>
        <v>1.2</v>
      </c>
      <c r="U25" s="15">
        <f t="shared" si="11"/>
        <v>0</v>
      </c>
      <c r="V25" s="15">
        <f t="shared" si="11"/>
        <v>2</v>
      </c>
      <c r="W25" s="15">
        <f t="shared" si="11"/>
        <v>2</v>
      </c>
      <c r="X25" s="15">
        <f t="shared" si="11"/>
        <v>2</v>
      </c>
      <c r="Y25" s="15">
        <f t="shared" si="11"/>
        <v>2</v>
      </c>
      <c r="Z25" s="15">
        <f t="shared" si="11"/>
        <v>1.3</v>
      </c>
      <c r="AA25" s="15">
        <f t="shared" si="11"/>
        <v>0</v>
      </c>
      <c r="AB25" s="15">
        <f t="shared" si="11"/>
        <v>2</v>
      </c>
      <c r="AC25" s="15">
        <f t="shared" si="11"/>
        <v>2</v>
      </c>
      <c r="AD25" s="15">
        <f t="shared" si="11"/>
        <v>2</v>
      </c>
      <c r="AE25" s="15">
        <f t="shared" si="11"/>
        <v>2</v>
      </c>
      <c r="AF25" s="15">
        <f t="shared" si="11"/>
        <v>1.4</v>
      </c>
      <c r="AG25" s="15">
        <f t="shared" si="11"/>
        <v>0</v>
      </c>
      <c r="AH25" s="15">
        <f t="shared" si="11"/>
        <v>2</v>
      </c>
      <c r="AI25" s="15">
        <f t="shared" si="11"/>
        <v>2</v>
      </c>
      <c r="AJ25" s="15">
        <f t="shared" si="11"/>
        <v>2</v>
      </c>
      <c r="AK25" s="15">
        <f t="shared" si="11"/>
        <v>2</v>
      </c>
      <c r="AL25" s="15">
        <f t="shared" si="11"/>
        <v>1.5</v>
      </c>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6"/>
      <c r="BX25" s="16"/>
      <c r="BY25" s="16"/>
      <c r="BZ25" s="16"/>
    </row>
    <row r="27" spans="1:78" ht="15" x14ac:dyDescent="0.15">
      <c r="A27" s="10" t="s">
        <v>51</v>
      </c>
      <c r="B27" s="39" t="s">
        <v>962</v>
      </c>
      <c r="C27" s="19">
        <v>2014</v>
      </c>
      <c r="D27" s="19">
        <f>C27+1</f>
        <v>2015</v>
      </c>
      <c r="E27" s="19">
        <f>D27+1</f>
        <v>2016</v>
      </c>
      <c r="F27" s="19"/>
      <c r="G27" s="19"/>
      <c r="H27" s="19"/>
      <c r="I27" s="20"/>
    </row>
    <row r="28" spans="1:78" ht="15" x14ac:dyDescent="0.15">
      <c r="A28" s="12" t="s">
        <v>44</v>
      </c>
      <c r="B28" s="21">
        <f t="shared" ref="B28:B39" si="12">SUM(C28:I28)</f>
        <v>384</v>
      </c>
      <c r="C28" s="15">
        <f t="shared" ref="C28:C39" si="13">SUMIF($C$12:$BY$12,C$27,$C14:$BY14)</f>
        <v>96</v>
      </c>
      <c r="D28" s="15">
        <f t="shared" ref="D28:E29" si="14">SUMIF($C$12:$BY$12,D$27,$C14:$BY14)</f>
        <v>144</v>
      </c>
      <c r="E28" s="15">
        <f t="shared" si="14"/>
        <v>144</v>
      </c>
      <c r="F28" s="15"/>
      <c r="G28" s="15"/>
      <c r="H28" s="15"/>
      <c r="I28" s="16"/>
    </row>
    <row r="29" spans="1:78" ht="15" x14ac:dyDescent="0.15">
      <c r="A29" s="12" t="s">
        <v>45</v>
      </c>
      <c r="B29" s="22">
        <f t="shared" si="12"/>
        <v>350</v>
      </c>
      <c r="C29" s="15">
        <f t="shared" si="13"/>
        <v>110</v>
      </c>
      <c r="D29" s="15">
        <f t="shared" si="14"/>
        <v>120</v>
      </c>
      <c r="E29" s="15">
        <f t="shared" si="14"/>
        <v>120</v>
      </c>
      <c r="F29" s="15"/>
      <c r="G29" s="15"/>
      <c r="H29" s="15"/>
      <c r="I29" s="16"/>
    </row>
    <row r="30" spans="1:78" ht="15" x14ac:dyDescent="0.15">
      <c r="A30" s="36" t="s">
        <v>285</v>
      </c>
      <c r="B30" s="17"/>
      <c r="C30" s="15">
        <f t="shared" si="13"/>
        <v>40</v>
      </c>
      <c r="D30" s="15">
        <f t="shared" ref="D30:E32" si="15">SUMIF($C$12:$BY$12,D$27,$C16:$BY16)</f>
        <v>48</v>
      </c>
      <c r="E30" s="15">
        <f t="shared" si="15"/>
        <v>48</v>
      </c>
      <c r="F30" s="15"/>
      <c r="G30" s="15"/>
      <c r="H30" s="15"/>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row>
    <row r="31" spans="1:78" ht="15" x14ac:dyDescent="0.15">
      <c r="A31" s="36" t="s">
        <v>231</v>
      </c>
      <c r="B31" s="17"/>
      <c r="C31" s="15">
        <f t="shared" si="13"/>
        <v>22</v>
      </c>
      <c r="D31" s="15">
        <f t="shared" si="15"/>
        <v>24</v>
      </c>
      <c r="E31" s="15">
        <f t="shared" si="15"/>
        <v>24</v>
      </c>
      <c r="F31" s="15"/>
      <c r="G31" s="15"/>
      <c r="H31" s="15"/>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row>
    <row r="32" spans="1:78" ht="15" x14ac:dyDescent="0.15">
      <c r="A32" s="36" t="s">
        <v>232</v>
      </c>
      <c r="B32" s="17"/>
      <c r="C32" s="15">
        <f t="shared" si="13"/>
        <v>48</v>
      </c>
      <c r="D32" s="15">
        <f t="shared" si="15"/>
        <v>48</v>
      </c>
      <c r="E32" s="15">
        <f t="shared" si="15"/>
        <v>48</v>
      </c>
      <c r="F32" s="15"/>
      <c r="G32" s="15"/>
      <c r="H32" s="15"/>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row>
    <row r="33" spans="1:78" ht="15" x14ac:dyDescent="0.15">
      <c r="A33" s="10" t="s">
        <v>46</v>
      </c>
      <c r="B33" s="22">
        <f t="shared" si="12"/>
        <v>34</v>
      </c>
      <c r="C33" s="15">
        <f t="shared" si="13"/>
        <v>-14</v>
      </c>
      <c r="D33" s="15">
        <f t="shared" ref="D33:E36" si="16">SUMIF($C$12:$BY$12,D$27,$C19:$BY19)</f>
        <v>24</v>
      </c>
      <c r="E33" s="15">
        <f t="shared" si="16"/>
        <v>24</v>
      </c>
      <c r="F33" s="15"/>
      <c r="G33" s="15"/>
      <c r="H33" s="15"/>
      <c r="I33" s="16"/>
    </row>
    <row r="34" spans="1:78" ht="15" x14ac:dyDescent="0.15">
      <c r="A34" s="12" t="s">
        <v>47</v>
      </c>
      <c r="B34" s="22">
        <f t="shared" si="12"/>
        <v>-30</v>
      </c>
      <c r="C34" s="15">
        <f t="shared" si="13"/>
        <v>-30</v>
      </c>
      <c r="D34" s="15">
        <f t="shared" si="16"/>
        <v>0</v>
      </c>
      <c r="E34" s="15">
        <f t="shared" si="16"/>
        <v>0</v>
      </c>
      <c r="F34" s="15"/>
      <c r="G34" s="15"/>
      <c r="H34" s="15"/>
      <c r="I34" s="16"/>
    </row>
    <row r="35" spans="1:78" ht="15" x14ac:dyDescent="0.15">
      <c r="A35" s="10" t="s">
        <v>48</v>
      </c>
      <c r="B35" s="22">
        <f t="shared" si="12"/>
        <v>4</v>
      </c>
      <c r="C35" s="15">
        <f t="shared" si="13"/>
        <v>-44</v>
      </c>
      <c r="D35" s="15">
        <f t="shared" si="16"/>
        <v>24</v>
      </c>
      <c r="E35" s="15">
        <f t="shared" si="16"/>
        <v>24</v>
      </c>
      <c r="F35" s="15"/>
      <c r="G35" s="15"/>
      <c r="H35" s="15"/>
      <c r="I35" s="16"/>
    </row>
    <row r="36" spans="1:78" ht="15" x14ac:dyDescent="0.15">
      <c r="A36" s="12" t="s">
        <v>49</v>
      </c>
      <c r="B36" s="22">
        <f t="shared" si="12"/>
        <v>-3.5</v>
      </c>
      <c r="C36" s="15">
        <f t="shared" si="13"/>
        <v>-14.1</v>
      </c>
      <c r="D36" s="15">
        <f t="shared" si="16"/>
        <v>5.5</v>
      </c>
      <c r="E36" s="15">
        <f t="shared" si="16"/>
        <v>5.0999999999999996</v>
      </c>
      <c r="F36" s="15"/>
      <c r="G36" s="15"/>
      <c r="H36" s="15"/>
      <c r="I36" s="16"/>
    </row>
    <row r="37" spans="1:78" ht="15" x14ac:dyDescent="0.15">
      <c r="A37" s="36" t="s">
        <v>172</v>
      </c>
      <c r="B37" s="17"/>
      <c r="C37" s="15">
        <f t="shared" si="13"/>
        <v>-16</v>
      </c>
      <c r="D37" s="15">
        <f>SUMIF($C$12:$BY$12,D$27,$C23:$BY23)</f>
        <v>4</v>
      </c>
      <c r="E37" s="15">
        <f t="shared" ref="D37:E39" si="17">SUMIF($C$12:$BY$12,E$27,$C23:$BY23)</f>
        <v>4</v>
      </c>
      <c r="F37" s="15"/>
      <c r="G37" s="15"/>
      <c r="H37" s="15"/>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row>
    <row r="38" spans="1:78" ht="15" x14ac:dyDescent="0.15">
      <c r="A38" s="36" t="s">
        <v>52</v>
      </c>
      <c r="B38" s="17"/>
      <c r="C38" s="15">
        <f t="shared" si="13"/>
        <v>1.9</v>
      </c>
      <c r="D38" s="15">
        <f t="shared" si="17"/>
        <v>1.5</v>
      </c>
      <c r="E38" s="15">
        <f t="shared" si="17"/>
        <v>1.1000000000000001</v>
      </c>
      <c r="F38" s="15"/>
      <c r="G38" s="15"/>
      <c r="H38" s="15"/>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row>
    <row r="39" spans="1:78" ht="15" x14ac:dyDescent="0.15">
      <c r="A39" s="12" t="s">
        <v>50</v>
      </c>
      <c r="B39" s="23">
        <f t="shared" si="12"/>
        <v>7.5</v>
      </c>
      <c r="C39" s="15">
        <f t="shared" si="13"/>
        <v>-29.9</v>
      </c>
      <c r="D39" s="15">
        <f t="shared" si="17"/>
        <v>18.5</v>
      </c>
      <c r="E39" s="15">
        <f t="shared" si="17"/>
        <v>18.899999999999999</v>
      </c>
      <c r="F39" s="15"/>
      <c r="G39" s="15"/>
      <c r="H39" s="15"/>
      <c r="I39" s="16"/>
    </row>
  </sheetData>
  <phoneticPr fontId="4" type="noConversion"/>
  <pageMargins left="0.7" right="0.7" top="0.75" bottom="0.75" header="0.3" footer="0.3"/>
  <pageSetup paperSize="9" scale="61" fitToHeight="0" orientation="portrait" r:id="rId1"/>
  <ignoredErrors>
    <ignoredError sqref="C8:G8" formula="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2"/>
  <sheetViews>
    <sheetView showGridLines="0" workbookViewId="0">
      <selection activeCell="C20" sqref="C20"/>
    </sheetView>
  </sheetViews>
  <sheetFormatPr baseColWidth="10" defaultColWidth="10.6640625" defaultRowHeight="14" x14ac:dyDescent="0.15"/>
  <cols>
    <col min="1" max="1" width="29.33203125" style="26" bestFit="1" customWidth="1"/>
    <col min="2" max="16384" width="10.6640625" style="26"/>
  </cols>
  <sheetData>
    <row r="1" spans="1:6" x14ac:dyDescent="0.15">
      <c r="A1" s="45" t="s">
        <v>352</v>
      </c>
    </row>
    <row r="2" spans="1:6" x14ac:dyDescent="0.15">
      <c r="B2" s="97">
        <v>1</v>
      </c>
      <c r="C2" s="97">
        <f>B2+1</f>
        <v>2</v>
      </c>
      <c r="D2" s="97">
        <f>C2+1</f>
        <v>3</v>
      </c>
      <c r="E2" s="97">
        <f>D2+1</f>
        <v>4</v>
      </c>
      <c r="F2" s="97">
        <f>E2+1</f>
        <v>5</v>
      </c>
    </row>
    <row r="3" spans="1:6" x14ac:dyDescent="0.15">
      <c r="A3" s="26" t="s">
        <v>964</v>
      </c>
      <c r="B3" s="84">
        <v>100</v>
      </c>
      <c r="C3" s="84">
        <v>110</v>
      </c>
      <c r="D3" s="84">
        <v>120</v>
      </c>
      <c r="E3" s="84">
        <v>130</v>
      </c>
      <c r="F3" s="84">
        <v>140</v>
      </c>
    </row>
    <row r="4" spans="1:6" x14ac:dyDescent="0.15">
      <c r="A4" s="26" t="s">
        <v>413</v>
      </c>
      <c r="B4" s="84">
        <v>200</v>
      </c>
      <c r="C4" s="84">
        <v>225</v>
      </c>
      <c r="D4" s="84">
        <v>250</v>
      </c>
      <c r="E4" s="84">
        <v>280</v>
      </c>
      <c r="F4" s="84">
        <v>315</v>
      </c>
    </row>
    <row r="5" spans="1:6" x14ac:dyDescent="0.15">
      <c r="A5" s="26" t="s">
        <v>177</v>
      </c>
      <c r="B5" s="84">
        <v>38</v>
      </c>
      <c r="C5" s="84">
        <v>40</v>
      </c>
      <c r="D5" s="84">
        <v>44</v>
      </c>
      <c r="E5" s="84">
        <v>48</v>
      </c>
      <c r="F5" s="84">
        <v>52</v>
      </c>
    </row>
    <row r="6" spans="1:6" x14ac:dyDescent="0.15">
      <c r="A6" s="26" t="s">
        <v>178</v>
      </c>
      <c r="B6" s="84">
        <v>10</v>
      </c>
      <c r="C6" s="84">
        <v>10</v>
      </c>
      <c r="D6" s="84">
        <v>11</v>
      </c>
      <c r="E6" s="84">
        <v>12</v>
      </c>
      <c r="F6" s="84">
        <v>13</v>
      </c>
    </row>
    <row r="7" spans="1:6" x14ac:dyDescent="0.15">
      <c r="A7" s="26" t="s">
        <v>347</v>
      </c>
      <c r="B7" s="84">
        <v>14</v>
      </c>
      <c r="C7" s="84">
        <v>15</v>
      </c>
      <c r="D7" s="84">
        <v>17</v>
      </c>
      <c r="E7" s="84">
        <v>19</v>
      </c>
      <c r="F7" s="84">
        <v>22</v>
      </c>
    </row>
    <row r="8" spans="1:6" x14ac:dyDescent="0.15">
      <c r="A8" s="26" t="s">
        <v>965</v>
      </c>
      <c r="B8" s="84">
        <v>7</v>
      </c>
      <c r="C8" s="84">
        <v>7.5</v>
      </c>
      <c r="D8" s="84">
        <v>8</v>
      </c>
      <c r="E8" s="84">
        <v>8</v>
      </c>
      <c r="F8" s="84">
        <v>8.5</v>
      </c>
    </row>
    <row r="9" spans="1:6" x14ac:dyDescent="0.15">
      <c r="A9" s="26" t="s">
        <v>201</v>
      </c>
      <c r="B9" s="84">
        <v>5</v>
      </c>
      <c r="C9" s="84">
        <v>5</v>
      </c>
      <c r="D9" s="84">
        <v>5</v>
      </c>
      <c r="E9" s="84">
        <v>6</v>
      </c>
      <c r="F9" s="84">
        <v>6</v>
      </c>
    </row>
    <row r="11" spans="1:6" x14ac:dyDescent="0.15">
      <c r="A11" s="58" t="s">
        <v>250</v>
      </c>
      <c r="C11" s="97">
        <f>C2</f>
        <v>2</v>
      </c>
      <c r="D11" s="97">
        <f>D2</f>
        <v>3</v>
      </c>
      <c r="E11" s="97">
        <f>E2</f>
        <v>4</v>
      </c>
      <c r="F11" s="97">
        <f>F2</f>
        <v>5</v>
      </c>
    </row>
    <row r="12" spans="1:6" x14ac:dyDescent="0.15">
      <c r="A12" s="26" t="s">
        <v>966</v>
      </c>
      <c r="C12" s="83">
        <f>C5-C7-C8</f>
        <v>17.5</v>
      </c>
      <c r="D12" s="83">
        <f>D5-D7-D8</f>
        <v>19</v>
      </c>
      <c r="E12" s="83">
        <f>E5-E7-E8</f>
        <v>21</v>
      </c>
      <c r="F12" s="83">
        <f>F5-F7-F8</f>
        <v>21.5</v>
      </c>
    </row>
    <row r="13" spans="1:6" x14ac:dyDescent="0.15">
      <c r="A13" s="75" t="s">
        <v>967</v>
      </c>
      <c r="B13" s="75"/>
      <c r="C13" s="148">
        <f>C4-B4</f>
        <v>25</v>
      </c>
      <c r="D13" s="148">
        <f>D4-C4</f>
        <v>25</v>
      </c>
      <c r="E13" s="148">
        <f>E4-D4</f>
        <v>30</v>
      </c>
      <c r="F13" s="148">
        <f>F4-E4</f>
        <v>35</v>
      </c>
    </row>
    <row r="14" spans="1:6" ht="15" x14ac:dyDescent="0.15">
      <c r="A14" s="47" t="s">
        <v>968</v>
      </c>
      <c r="B14" s="83"/>
      <c r="C14" s="83">
        <f>C12-C13</f>
        <v>-7.5</v>
      </c>
      <c r="D14" s="83">
        <f>D12-D13</f>
        <v>-6</v>
      </c>
      <c r="E14" s="83">
        <f>E12-E13</f>
        <v>-9</v>
      </c>
      <c r="F14" s="83">
        <f>F12-F13</f>
        <v>-13.5</v>
      </c>
    </row>
    <row r="15" spans="1:6" x14ac:dyDescent="0.15">
      <c r="A15" s="26" t="s">
        <v>969</v>
      </c>
      <c r="B15" s="83"/>
      <c r="C15" s="83">
        <f>C3-B3+C6</f>
        <v>20</v>
      </c>
      <c r="D15" s="83">
        <f>D3-C3+D6</f>
        <v>21</v>
      </c>
      <c r="E15" s="83">
        <f>E3-D3+E6</f>
        <v>22</v>
      </c>
      <c r="F15" s="83">
        <f>F3-E3+F6</f>
        <v>23</v>
      </c>
    </row>
    <row r="16" spans="1:6" x14ac:dyDescent="0.15">
      <c r="A16" s="26" t="s">
        <v>971</v>
      </c>
      <c r="B16" s="83"/>
      <c r="C16" s="83"/>
      <c r="D16" s="83"/>
      <c r="E16" s="83"/>
      <c r="F16" s="83"/>
    </row>
    <row r="17" spans="1:6" x14ac:dyDescent="0.15">
      <c r="A17" s="26" t="s">
        <v>972</v>
      </c>
      <c r="B17" s="83"/>
      <c r="C17" s="83">
        <f>B9</f>
        <v>5</v>
      </c>
      <c r="D17" s="83">
        <f>C9</f>
        <v>5</v>
      </c>
      <c r="E17" s="83">
        <f>D9</f>
        <v>5</v>
      </c>
      <c r="F17" s="83">
        <f>E9</f>
        <v>6</v>
      </c>
    </row>
    <row r="18" spans="1:6" x14ac:dyDescent="0.15">
      <c r="B18" s="83"/>
      <c r="C18" s="83"/>
      <c r="D18" s="83"/>
      <c r="E18" s="83"/>
      <c r="F18" s="83"/>
    </row>
    <row r="19" spans="1:6" ht="15" x14ac:dyDescent="0.15">
      <c r="A19" s="47" t="s">
        <v>973</v>
      </c>
      <c r="B19" s="83"/>
      <c r="C19" s="83">
        <f>C14-C15+C16-C17</f>
        <v>-32.5</v>
      </c>
      <c r="D19" s="83">
        <f>D14-D15+D16-D17</f>
        <v>-32</v>
      </c>
      <c r="E19" s="83">
        <f>E14-E15+E16-E17</f>
        <v>-36</v>
      </c>
      <c r="F19" s="83">
        <f>F14-F15+F16-F17</f>
        <v>-42.5</v>
      </c>
    </row>
    <row r="20" spans="1:6" x14ac:dyDescent="0.15">
      <c r="A20" s="47"/>
      <c r="B20" s="83"/>
      <c r="C20" s="83"/>
      <c r="D20" s="83"/>
      <c r="E20" s="83"/>
      <c r="F20" s="83"/>
    </row>
    <row r="21" spans="1:6" ht="15" x14ac:dyDescent="0.15">
      <c r="A21" s="67" t="s">
        <v>1320</v>
      </c>
      <c r="B21" s="83"/>
      <c r="C21" s="83"/>
      <c r="D21" s="83"/>
      <c r="E21" s="83"/>
      <c r="F21" s="83"/>
    </row>
    <row r="22" spans="1:6" ht="15" x14ac:dyDescent="0.15">
      <c r="A22" s="47" t="s">
        <v>1321</v>
      </c>
      <c r="B22" s="83"/>
      <c r="C22" s="83"/>
      <c r="D22" s="83"/>
      <c r="E22" s="83"/>
      <c r="F22" s="83"/>
    </row>
    <row r="23" spans="1:6" x14ac:dyDescent="0.15">
      <c r="B23" s="83"/>
      <c r="C23" s="83"/>
      <c r="D23" s="83"/>
      <c r="E23" s="83"/>
      <c r="F23" s="83"/>
    </row>
    <row r="24" spans="1:6" x14ac:dyDescent="0.15">
      <c r="A24" s="47"/>
      <c r="B24" s="83"/>
      <c r="C24" s="83"/>
      <c r="D24" s="83"/>
      <c r="E24" s="83"/>
      <c r="F24" s="83"/>
    </row>
    <row r="25" spans="1:6" x14ac:dyDescent="0.15">
      <c r="A25" s="47"/>
      <c r="B25" s="83"/>
      <c r="C25" s="83"/>
      <c r="D25" s="83"/>
      <c r="E25" s="83"/>
      <c r="F25" s="83"/>
    </row>
    <row r="26" spans="1:6" x14ac:dyDescent="0.15">
      <c r="A26" s="47"/>
      <c r="B26" s="83"/>
      <c r="C26" s="83"/>
      <c r="D26" s="83"/>
      <c r="E26" s="83"/>
      <c r="F26" s="83"/>
    </row>
    <row r="27" spans="1:6" x14ac:dyDescent="0.15">
      <c r="A27" s="47"/>
      <c r="B27" s="83"/>
      <c r="C27" s="83"/>
      <c r="D27" s="83"/>
      <c r="E27" s="83"/>
      <c r="F27" s="83"/>
    </row>
    <row r="28" spans="1:6" x14ac:dyDescent="0.15">
      <c r="A28" s="47"/>
      <c r="B28" s="83"/>
      <c r="C28" s="83"/>
      <c r="D28" s="83"/>
      <c r="E28" s="83"/>
      <c r="F28" s="83"/>
    </row>
    <row r="29" spans="1:6" x14ac:dyDescent="0.15">
      <c r="A29" s="47"/>
      <c r="B29" s="83"/>
      <c r="C29" s="83"/>
      <c r="D29" s="83"/>
      <c r="E29" s="83"/>
      <c r="F29" s="83"/>
    </row>
    <row r="30" spans="1:6" x14ac:dyDescent="0.15">
      <c r="A30" s="47"/>
      <c r="B30" s="83"/>
      <c r="C30" s="83"/>
      <c r="D30" s="83"/>
      <c r="E30" s="83"/>
      <c r="F30" s="83"/>
    </row>
    <row r="31" spans="1:6" x14ac:dyDescent="0.15">
      <c r="A31" s="47"/>
      <c r="B31" s="83"/>
      <c r="C31" s="83"/>
      <c r="D31" s="83"/>
      <c r="E31" s="83"/>
      <c r="F31" s="83"/>
    </row>
    <row r="32" spans="1:6" x14ac:dyDescent="0.15">
      <c r="A32" s="47"/>
      <c r="B32" s="83"/>
      <c r="C32" s="83"/>
      <c r="D32" s="83"/>
      <c r="E32" s="83"/>
      <c r="F32" s="83"/>
    </row>
    <row r="33" spans="1:6" x14ac:dyDescent="0.15">
      <c r="A33" s="47"/>
      <c r="B33" s="83"/>
      <c r="C33" s="83"/>
      <c r="D33" s="83"/>
      <c r="E33" s="83"/>
      <c r="F33" s="83"/>
    </row>
    <row r="34" spans="1:6" x14ac:dyDescent="0.15">
      <c r="A34" s="47"/>
      <c r="B34" s="83"/>
      <c r="C34" s="83"/>
      <c r="D34" s="83"/>
      <c r="E34" s="83"/>
      <c r="F34" s="83"/>
    </row>
    <row r="35" spans="1:6" x14ac:dyDescent="0.15">
      <c r="A35" s="47"/>
      <c r="B35" s="83"/>
      <c r="C35" s="83"/>
      <c r="D35" s="83"/>
      <c r="E35" s="83"/>
      <c r="F35" s="83"/>
    </row>
    <row r="36" spans="1:6" x14ac:dyDescent="0.15">
      <c r="A36" s="47"/>
      <c r="B36" s="83"/>
      <c r="C36" s="83"/>
      <c r="D36" s="83"/>
      <c r="E36" s="83"/>
      <c r="F36" s="83"/>
    </row>
    <row r="37" spans="1:6" x14ac:dyDescent="0.15">
      <c r="A37" s="47"/>
      <c r="B37" s="83"/>
      <c r="C37" s="83"/>
      <c r="D37" s="83"/>
      <c r="E37" s="83"/>
      <c r="F37" s="83"/>
    </row>
    <row r="38" spans="1:6" x14ac:dyDescent="0.15">
      <c r="A38" s="47"/>
      <c r="B38" s="83"/>
      <c r="C38" s="83"/>
      <c r="D38" s="83"/>
      <c r="E38" s="83"/>
      <c r="F38" s="83"/>
    </row>
    <row r="39" spans="1:6" x14ac:dyDescent="0.15">
      <c r="A39" s="47"/>
      <c r="B39" s="83"/>
      <c r="C39" s="83"/>
      <c r="D39" s="83"/>
      <c r="E39" s="83"/>
      <c r="F39" s="83"/>
    </row>
    <row r="40" spans="1:6" x14ac:dyDescent="0.15">
      <c r="A40" s="47"/>
      <c r="B40" s="83"/>
      <c r="C40" s="83"/>
      <c r="D40" s="83"/>
      <c r="E40" s="83"/>
      <c r="F40" s="83"/>
    </row>
    <row r="41" spans="1:6" x14ac:dyDescent="0.15">
      <c r="A41" s="47"/>
      <c r="B41" s="83"/>
      <c r="C41" s="83"/>
      <c r="D41" s="83"/>
      <c r="E41" s="83"/>
      <c r="F41" s="83"/>
    </row>
    <row r="42" spans="1:6" x14ac:dyDescent="0.15">
      <c r="A42" s="47"/>
      <c r="B42" s="83"/>
      <c r="C42" s="83"/>
      <c r="D42" s="83"/>
      <c r="E42" s="83"/>
      <c r="F42" s="83"/>
    </row>
    <row r="44" spans="1:6" x14ac:dyDescent="0.15">
      <c r="A44" s="45"/>
    </row>
    <row r="45" spans="1:6" x14ac:dyDescent="0.15">
      <c r="B45" s="97"/>
      <c r="C45" s="97"/>
    </row>
    <row r="46" spans="1:6" x14ac:dyDescent="0.15">
      <c r="A46" s="47"/>
    </row>
    <row r="47" spans="1:6" x14ac:dyDescent="0.15">
      <c r="A47" s="47"/>
    </row>
    <row r="48" spans="1:6" x14ac:dyDescent="0.15">
      <c r="A48" s="47"/>
    </row>
    <row r="49" spans="1:3" x14ac:dyDescent="0.15">
      <c r="A49" s="47"/>
    </row>
    <row r="50" spans="1:3" ht="13.75" x14ac:dyDescent="0.2">
      <c r="A50" s="47"/>
    </row>
    <row r="51" spans="1:3" ht="13.75" x14ac:dyDescent="0.2">
      <c r="A51" s="47"/>
    </row>
    <row r="52" spans="1:3" ht="13.75" x14ac:dyDescent="0.2">
      <c r="A52" s="47"/>
    </row>
    <row r="53" spans="1:3" ht="13.75" x14ac:dyDescent="0.2">
      <c r="A53" s="47"/>
    </row>
    <row r="54" spans="1:3" ht="13.75" x14ac:dyDescent="0.2">
      <c r="A54" s="47"/>
    </row>
    <row r="56" spans="1:3" ht="13.75" x14ac:dyDescent="0.2">
      <c r="A56" s="47"/>
    </row>
    <row r="60" spans="1:3" ht="13.75" x14ac:dyDescent="0.2">
      <c r="A60" s="47"/>
    </row>
    <row r="62" spans="1:3" ht="13.75" x14ac:dyDescent="0.2">
      <c r="A62" s="47"/>
      <c r="B62" s="161"/>
      <c r="C62" s="161"/>
    </row>
  </sheetData>
  <phoneticPr fontId="4" type="noConversion"/>
  <pageMargins left="0.7" right="0.7" top="0.75" bottom="0.75" header="0.3" footer="0.3"/>
  <pageSetup paperSize="9" scale="93" fitToHeight="0"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F126"/>
  <sheetViews>
    <sheetView showGridLines="0" workbookViewId="0">
      <selection activeCell="C20" sqref="C20"/>
    </sheetView>
  </sheetViews>
  <sheetFormatPr baseColWidth="10" defaultColWidth="10.6640625" defaultRowHeight="14" x14ac:dyDescent="0.15"/>
  <cols>
    <col min="1" max="1" width="44.5" style="26" bestFit="1" customWidth="1"/>
    <col min="2" max="3" width="10.6640625" style="26"/>
    <col min="4" max="5" width="10.83203125" style="26" customWidth="1"/>
    <col min="6" max="16384" width="10.6640625" style="26"/>
  </cols>
  <sheetData>
    <row r="2" spans="1:3" ht="15" x14ac:dyDescent="0.15">
      <c r="A2" s="99" t="s">
        <v>352</v>
      </c>
    </row>
    <row r="4" spans="1:3" x14ac:dyDescent="0.15">
      <c r="A4" s="26" t="s">
        <v>975</v>
      </c>
      <c r="B4" s="66">
        <v>0.03</v>
      </c>
    </row>
    <row r="5" spans="1:3" x14ac:dyDescent="0.15">
      <c r="A5" s="26" t="s">
        <v>977</v>
      </c>
      <c r="B5" s="66">
        <v>0.05</v>
      </c>
    </row>
    <row r="6" spans="1:3" x14ac:dyDescent="0.15">
      <c r="A6" s="26" t="s">
        <v>221</v>
      </c>
      <c r="B6" s="66">
        <v>0.4</v>
      </c>
    </row>
    <row r="7" spans="1:3" x14ac:dyDescent="0.15">
      <c r="A7" s="26" t="s">
        <v>978</v>
      </c>
      <c r="B7" s="84">
        <v>1000</v>
      </c>
    </row>
    <row r="9" spans="1:3" x14ac:dyDescent="0.15">
      <c r="A9" s="26" t="s">
        <v>976</v>
      </c>
      <c r="B9" s="66">
        <v>0.2</v>
      </c>
    </row>
    <row r="10" spans="1:3" x14ac:dyDescent="0.15">
      <c r="B10" s="102"/>
    </row>
    <row r="11" spans="1:3" x14ac:dyDescent="0.15">
      <c r="A11" s="58" t="s">
        <v>980</v>
      </c>
    </row>
    <row r="12" spans="1:3" x14ac:dyDescent="0.15">
      <c r="A12" s="74" t="s">
        <v>979</v>
      </c>
      <c r="B12" s="172">
        <v>250</v>
      </c>
      <c r="C12" s="172">
        <v>1000</v>
      </c>
    </row>
    <row r="14" spans="1:3" x14ac:dyDescent="0.15">
      <c r="A14" s="26" t="s">
        <v>978</v>
      </c>
      <c r="B14" s="83">
        <f>B7</f>
        <v>1000</v>
      </c>
      <c r="C14" s="83">
        <f>B7</f>
        <v>1000</v>
      </c>
    </row>
    <row r="15" spans="1:3" x14ac:dyDescent="0.15">
      <c r="A15" s="26" t="s">
        <v>981</v>
      </c>
      <c r="B15" s="83">
        <f>B14-B16</f>
        <v>750</v>
      </c>
      <c r="C15" s="83">
        <f>C14-C16</f>
        <v>0</v>
      </c>
    </row>
    <row r="16" spans="1:3" x14ac:dyDescent="0.15">
      <c r="A16" s="26" t="s">
        <v>300</v>
      </c>
      <c r="B16" s="83">
        <f>B12</f>
        <v>250</v>
      </c>
      <c r="C16" s="83">
        <f>C12</f>
        <v>1000</v>
      </c>
    </row>
    <row r="17" spans="1:6" x14ac:dyDescent="0.15">
      <c r="A17" s="26" t="s">
        <v>227</v>
      </c>
      <c r="B17" s="83">
        <f>B9*B16/B4</f>
        <v>1666.6666666666667</v>
      </c>
      <c r="C17" s="83">
        <f>B9*C16/B4</f>
        <v>6666.666666666667</v>
      </c>
    </row>
    <row r="18" spans="1:6" x14ac:dyDescent="0.15">
      <c r="A18" s="26" t="s">
        <v>982</v>
      </c>
      <c r="B18" s="83">
        <f>SUM(B19:B21)</f>
        <v>120.83333333333334</v>
      </c>
      <c r="C18" s="83">
        <f>SUM(C19:C21)</f>
        <v>333.33333333333337</v>
      </c>
    </row>
    <row r="19" spans="1:6" x14ac:dyDescent="0.15">
      <c r="A19" s="26" t="s">
        <v>983</v>
      </c>
      <c r="B19" s="83">
        <f>B15*B5</f>
        <v>37.5</v>
      </c>
      <c r="C19" s="83">
        <f>C15*B5</f>
        <v>0</v>
      </c>
    </row>
    <row r="20" spans="1:6" x14ac:dyDescent="0.15">
      <c r="A20" s="26" t="s">
        <v>198</v>
      </c>
      <c r="B20" s="83">
        <f>B21/(1-B6)*B6</f>
        <v>33.333333333333336</v>
      </c>
      <c r="C20" s="83">
        <f>C21/(1-B6)*B6</f>
        <v>133.33333333333334</v>
      </c>
    </row>
    <row r="21" spans="1:6" x14ac:dyDescent="0.15">
      <c r="A21" s="26" t="s">
        <v>251</v>
      </c>
      <c r="B21" s="83">
        <f>B17*B4</f>
        <v>50</v>
      </c>
      <c r="C21" s="83">
        <f>C17*B4</f>
        <v>200</v>
      </c>
    </row>
    <row r="23" spans="1:6" ht="19" x14ac:dyDescent="0.15">
      <c r="A23" s="99" t="s">
        <v>974</v>
      </c>
      <c r="C23" s="173"/>
      <c r="D23" s="173"/>
      <c r="E23" s="173"/>
    </row>
    <row r="24" spans="1:6" x14ac:dyDescent="0.15">
      <c r="A24" s="97" t="s">
        <v>506</v>
      </c>
      <c r="B24" s="97">
        <v>1</v>
      </c>
      <c r="C24" s="97">
        <v>2</v>
      </c>
      <c r="D24" s="97">
        <v>3</v>
      </c>
      <c r="E24" s="97">
        <v>4</v>
      </c>
      <c r="F24" s="97">
        <v>5</v>
      </c>
    </row>
    <row r="25" spans="1:6" x14ac:dyDescent="0.15">
      <c r="A25" s="26" t="s">
        <v>300</v>
      </c>
      <c r="B25" s="64">
        <v>100</v>
      </c>
      <c r="C25" s="64">
        <v>115</v>
      </c>
      <c r="D25" s="64">
        <v>320</v>
      </c>
      <c r="E25" s="64">
        <v>300</v>
      </c>
      <c r="F25" s="64">
        <v>240</v>
      </c>
    </row>
    <row r="26" spans="1:6" x14ac:dyDescent="0.15">
      <c r="A26" s="26" t="s">
        <v>981</v>
      </c>
      <c r="B26" s="64">
        <v>123</v>
      </c>
      <c r="C26" s="64">
        <v>180</v>
      </c>
      <c r="D26" s="64">
        <v>540</v>
      </c>
      <c r="E26" s="64">
        <v>640</v>
      </c>
      <c r="F26" s="64">
        <v>680</v>
      </c>
    </row>
    <row r="27" spans="1:6" x14ac:dyDescent="0.15">
      <c r="A27" s="26" t="s">
        <v>1002</v>
      </c>
      <c r="B27" s="64">
        <v>11</v>
      </c>
      <c r="C27" s="64">
        <v>18.5</v>
      </c>
      <c r="D27" s="64">
        <v>29</v>
      </c>
      <c r="E27" s="64">
        <v>63</v>
      </c>
      <c r="F27" s="64">
        <v>83</v>
      </c>
    </row>
    <row r="28" spans="1:6" x14ac:dyDescent="0.15">
      <c r="A28" s="26" t="s">
        <v>251</v>
      </c>
      <c r="B28" s="64">
        <v>14</v>
      </c>
      <c r="C28" s="64">
        <v>16</v>
      </c>
      <c r="D28" s="64">
        <v>-20</v>
      </c>
      <c r="E28" s="64">
        <v>-60</v>
      </c>
      <c r="F28" s="64">
        <v>-40</v>
      </c>
    </row>
    <row r="30" spans="1:6" x14ac:dyDescent="0.15">
      <c r="A30" s="26" t="s">
        <v>221</v>
      </c>
      <c r="B30" s="66">
        <v>0.35</v>
      </c>
      <c r="C30" s="66">
        <f>B30</f>
        <v>0.35</v>
      </c>
      <c r="D30" s="66">
        <f>C30</f>
        <v>0.35</v>
      </c>
      <c r="E30" s="66">
        <f>D30</f>
        <v>0.35</v>
      </c>
      <c r="F30" s="66">
        <f>E30</f>
        <v>0.35</v>
      </c>
    </row>
    <row r="32" spans="1:6" x14ac:dyDescent="0.15">
      <c r="A32" s="26" t="s">
        <v>357</v>
      </c>
      <c r="B32" s="151">
        <f>IF(B28&gt;0, B28*B30/(1-B30),0)</f>
        <v>7.5384615384615374</v>
      </c>
      <c r="C32" s="151">
        <f>IF(C28&gt;0, C28*C30/(1-C30),0)</f>
        <v>8.615384615384615</v>
      </c>
      <c r="D32" s="26">
        <f>IF(D28&gt;0, D28*D30/(1-D30),0)</f>
        <v>0</v>
      </c>
      <c r="E32" s="26">
        <f>IF(E28&gt;0, E28*E30/(1-E30),0)</f>
        <v>0</v>
      </c>
      <c r="F32" s="26">
        <f>IF(F28&gt;0, F28*F30/(1-F30),0)</f>
        <v>0</v>
      </c>
    </row>
    <row r="33" spans="1:6" x14ac:dyDescent="0.15">
      <c r="A33" s="26" t="s">
        <v>982</v>
      </c>
      <c r="B33" s="151">
        <f>B28+B27+B32</f>
        <v>32.53846153846154</v>
      </c>
      <c r="C33" s="151">
        <f>C28+C27+C32</f>
        <v>43.115384615384613</v>
      </c>
      <c r="D33" s="151">
        <f>D28+D27+D32</f>
        <v>9</v>
      </c>
      <c r="E33" s="151">
        <f>E28+E27+E32</f>
        <v>3</v>
      </c>
      <c r="F33" s="151">
        <f>F28+F27+F32</f>
        <v>43</v>
      </c>
    </row>
    <row r="35" spans="1:6" x14ac:dyDescent="0.15">
      <c r="A35" s="26" t="s">
        <v>1008</v>
      </c>
      <c r="B35" s="174">
        <f>B33*(1-B30)/(B25+B26)</f>
        <v>9.4843049327354267E-2</v>
      </c>
      <c r="C35" s="174">
        <f>C33*(1-C30)/(C25+C26)</f>
        <v>9.5000000000000001E-2</v>
      </c>
      <c r="D35" s="174">
        <f>D33*(1-D30)/(D25+D26)</f>
        <v>6.8023255813953491E-3</v>
      </c>
      <c r="E35" s="174">
        <f>E33*(1-E30)/(E25+E26)</f>
        <v>2.0744680851063832E-3</v>
      </c>
      <c r="F35" s="174">
        <f>F33*(1-F30)/(F25+F26)</f>
        <v>3.0380434782608694E-2</v>
      </c>
    </row>
    <row r="36" spans="1:6" x14ac:dyDescent="0.15">
      <c r="A36" s="26" t="s">
        <v>1007</v>
      </c>
      <c r="B36" s="174">
        <f>IF(B27&lt;B33,B27/B26*(1-B30),B33/B26*(1-B30)+(B27-B33)/B26)</f>
        <v>5.8130081300813014E-2</v>
      </c>
      <c r="C36" s="174">
        <f>IF(C27&lt;C33,C27/C26*(1-C30),C33/C26*(1-C30)+(C27-C33)/C26)</f>
        <v>6.6805555555555549E-2</v>
      </c>
      <c r="D36" s="174">
        <f>IF(D27&lt;D33,D27/D26*(1-D30),D33/D26*(1-D30)+(D27-D33)/D26)</f>
        <v>4.7870370370370369E-2</v>
      </c>
      <c r="E36" s="174">
        <f>IF(E27&lt;E33,E27/E26*(1-E30),E33/E26*(1-E30)+(E27-E33)/E26)</f>
        <v>9.6796875000000004E-2</v>
      </c>
      <c r="F36" s="174">
        <f>IF(F27&lt;F33,F27/F26*(1-F30),F33/F26*(1-F30)+(F27-F33)/F26)</f>
        <v>9.9926470588235283E-2</v>
      </c>
    </row>
    <row r="37" spans="1:6" x14ac:dyDescent="0.15">
      <c r="A37" s="75" t="s">
        <v>1006</v>
      </c>
      <c r="B37" s="175">
        <f>B26/B25</f>
        <v>1.23</v>
      </c>
      <c r="C37" s="175">
        <f>C26/C25</f>
        <v>1.5652173913043479</v>
      </c>
      <c r="D37" s="175">
        <f>D26/D25</f>
        <v>1.6875</v>
      </c>
      <c r="E37" s="175">
        <f>E26/E25</f>
        <v>2.1333333333333333</v>
      </c>
      <c r="F37" s="175">
        <f>F26/F25</f>
        <v>2.8333333333333335</v>
      </c>
    </row>
    <row r="38" spans="1:6" x14ac:dyDescent="0.15">
      <c r="A38" s="58" t="s">
        <v>985</v>
      </c>
      <c r="B38" s="176">
        <f>(B35-B36)*B37</f>
        <v>4.5156950672645739E-2</v>
      </c>
      <c r="C38" s="176">
        <f>(C35-C36)*C37</f>
        <v>4.413043478260871E-2</v>
      </c>
      <c r="D38" s="176">
        <f>(D35-D36)*D37</f>
        <v>-6.9302325581395346E-2</v>
      </c>
      <c r="E38" s="176">
        <f>(E35-E36)*E37</f>
        <v>-0.20207446808510637</v>
      </c>
      <c r="F38" s="176">
        <f>(F35-F36)*F37</f>
        <v>-0.19704710144927534</v>
      </c>
    </row>
    <row r="39" spans="1:6" x14ac:dyDescent="0.15">
      <c r="B39" s="177"/>
      <c r="C39" s="177"/>
      <c r="D39" s="177"/>
      <c r="E39" s="177"/>
      <c r="F39" s="177"/>
    </row>
    <row r="40" spans="1:6" x14ac:dyDescent="0.15">
      <c r="A40" s="26" t="s">
        <v>976</v>
      </c>
      <c r="B40" s="174">
        <f>B35+B38</f>
        <v>0.14000000000000001</v>
      </c>
      <c r="C40" s="174">
        <f>C35+C38</f>
        <v>0.13913043478260873</v>
      </c>
      <c r="D40" s="174">
        <f>D35+D38</f>
        <v>-6.25E-2</v>
      </c>
      <c r="E40" s="174">
        <f>E35+E38</f>
        <v>-0.19999999999999998</v>
      </c>
      <c r="F40" s="174">
        <f>F35+F38</f>
        <v>-0.16666666666666666</v>
      </c>
    </row>
    <row r="42" spans="1:6" ht="19" x14ac:dyDescent="0.15">
      <c r="A42" s="99" t="s">
        <v>1210</v>
      </c>
      <c r="B42" s="173"/>
    </row>
    <row r="43" spans="1:6" x14ac:dyDescent="0.15">
      <c r="A43" s="58" t="s">
        <v>986</v>
      </c>
      <c r="B43" s="178" t="s">
        <v>1211</v>
      </c>
      <c r="C43" s="178" t="s">
        <v>1212</v>
      </c>
    </row>
    <row r="44" spans="1:6" x14ac:dyDescent="0.15">
      <c r="A44" s="142" t="s">
        <v>998</v>
      </c>
      <c r="B44" s="179">
        <v>22.5</v>
      </c>
      <c r="C44" s="179">
        <v>67.2</v>
      </c>
    </row>
    <row r="45" spans="1:6" x14ac:dyDescent="0.15">
      <c r="A45" s="166" t="s">
        <v>999</v>
      </c>
      <c r="B45" s="167">
        <v>-6.6</v>
      </c>
      <c r="C45" s="167">
        <v>-33.799999999999997</v>
      </c>
    </row>
    <row r="46" spans="1:6" x14ac:dyDescent="0.15">
      <c r="A46" s="135" t="s">
        <v>1000</v>
      </c>
      <c r="B46" s="167">
        <f>+B44+B45</f>
        <v>15.9</v>
      </c>
      <c r="C46" s="167">
        <f>+C44+C45</f>
        <v>33.400000000000006</v>
      </c>
    </row>
    <row r="47" spans="1:6" x14ac:dyDescent="0.15">
      <c r="A47" s="166" t="s">
        <v>1151</v>
      </c>
      <c r="B47" s="167">
        <v>-6.8</v>
      </c>
      <c r="C47" s="167">
        <v>-19.600000000000001</v>
      </c>
    </row>
    <row r="48" spans="1:6" x14ac:dyDescent="0.15">
      <c r="A48" s="166" t="s">
        <v>1152</v>
      </c>
      <c r="B48" s="167">
        <v>-4.5999999999999996</v>
      </c>
      <c r="C48" s="167">
        <v>-4.2</v>
      </c>
    </row>
    <row r="49" spans="1:3" x14ac:dyDescent="0.15">
      <c r="A49" s="166" t="s">
        <v>1213</v>
      </c>
      <c r="B49" s="167">
        <v>-0.8</v>
      </c>
      <c r="C49" s="167">
        <v>0</v>
      </c>
    </row>
    <row r="50" spans="1:3" x14ac:dyDescent="0.15">
      <c r="A50" s="166" t="s">
        <v>1153</v>
      </c>
      <c r="B50" s="167">
        <v>-0.1</v>
      </c>
      <c r="C50" s="167">
        <v>0.1</v>
      </c>
    </row>
    <row r="51" spans="1:3" x14ac:dyDescent="0.15">
      <c r="A51" s="166" t="s">
        <v>1154</v>
      </c>
      <c r="B51" s="167">
        <v>0.3</v>
      </c>
      <c r="C51" s="167">
        <v>0.1</v>
      </c>
    </row>
    <row r="52" spans="1:3" ht="13.75" x14ac:dyDescent="0.2">
      <c r="A52" s="135" t="s">
        <v>1155</v>
      </c>
      <c r="B52" s="181">
        <f>SUM(B46:B51)</f>
        <v>3.9000000000000017</v>
      </c>
      <c r="C52" s="181">
        <f>SUM(C46:C51)</f>
        <v>9.8000000000000043</v>
      </c>
    </row>
    <row r="53" spans="1:3" ht="13.75" x14ac:dyDescent="0.2">
      <c r="A53" s="166" t="s">
        <v>1156</v>
      </c>
      <c r="B53" s="167">
        <v>0</v>
      </c>
      <c r="C53" s="167">
        <v>0.1</v>
      </c>
    </row>
    <row r="54" spans="1:3" s="58" customFormat="1" ht="13.75" x14ac:dyDescent="0.2">
      <c r="A54" s="142" t="s">
        <v>193</v>
      </c>
      <c r="B54" s="168">
        <f>B52+B53</f>
        <v>3.9000000000000017</v>
      </c>
      <c r="C54" s="168">
        <f>C52+C53</f>
        <v>9.9000000000000039</v>
      </c>
    </row>
    <row r="55" spans="1:3" ht="13.75" x14ac:dyDescent="0.2">
      <c r="A55" s="166" t="s">
        <v>1001</v>
      </c>
      <c r="B55" s="167">
        <v>0</v>
      </c>
      <c r="C55" s="167">
        <v>-2.7</v>
      </c>
    </row>
    <row r="56" spans="1:3" ht="13.75" x14ac:dyDescent="0.2">
      <c r="A56" s="166" t="s">
        <v>290</v>
      </c>
      <c r="B56" s="167">
        <v>0</v>
      </c>
      <c r="C56" s="167">
        <v>0.9</v>
      </c>
    </row>
    <row r="57" spans="1:3" s="58" customFormat="1" ht="13.75" x14ac:dyDescent="0.2">
      <c r="A57" s="142" t="s">
        <v>1157</v>
      </c>
      <c r="B57" s="168">
        <f>+B54+B55+B56</f>
        <v>3.9000000000000017</v>
      </c>
      <c r="C57" s="168">
        <f>+C54+C55+C56</f>
        <v>8.1000000000000032</v>
      </c>
    </row>
    <row r="58" spans="1:3" ht="13.75" x14ac:dyDescent="0.2">
      <c r="A58" s="166" t="s">
        <v>1003</v>
      </c>
      <c r="B58" s="167">
        <v>-1</v>
      </c>
      <c r="C58" s="167">
        <v>-1.9</v>
      </c>
    </row>
    <row r="59" spans="1:3" ht="13.75" x14ac:dyDescent="0.2">
      <c r="A59" s="166" t="s">
        <v>1004</v>
      </c>
      <c r="B59" s="167">
        <v>0</v>
      </c>
      <c r="C59" s="167">
        <v>-0.6</v>
      </c>
    </row>
    <row r="60" spans="1:3" ht="13.75" x14ac:dyDescent="0.2">
      <c r="A60" s="142" t="s">
        <v>251</v>
      </c>
      <c r="B60" s="168">
        <f>+B57+B58+B59</f>
        <v>2.9000000000000017</v>
      </c>
      <c r="C60" s="168">
        <f>+C57+C58+C59</f>
        <v>5.6000000000000032</v>
      </c>
    </row>
    <row r="61" spans="1:3" ht="13.75" x14ac:dyDescent="0.2">
      <c r="A61" s="135"/>
      <c r="B61" s="167"/>
    </row>
    <row r="62" spans="1:3" ht="13.75" x14ac:dyDescent="0.2">
      <c r="B62" s="83"/>
      <c r="C62" s="83"/>
    </row>
    <row r="63" spans="1:3" ht="13.75" x14ac:dyDescent="0.2">
      <c r="A63" s="138" t="s">
        <v>987</v>
      </c>
      <c r="B63" s="148"/>
      <c r="C63" s="148"/>
    </row>
    <row r="64" spans="1:3" ht="13.75" x14ac:dyDescent="0.2">
      <c r="A64" s="26" t="s">
        <v>988</v>
      </c>
      <c r="B64" s="83">
        <v>6.5</v>
      </c>
      <c r="C64" s="83">
        <v>54</v>
      </c>
    </row>
    <row r="65" spans="1:3" ht="13.75" x14ac:dyDescent="0.2">
      <c r="A65" s="72" t="s">
        <v>1158</v>
      </c>
      <c r="B65" s="83">
        <v>2.6</v>
      </c>
      <c r="C65" s="83">
        <v>37.200000000000003</v>
      </c>
    </row>
    <row r="66" spans="1:3" ht="13.75" x14ac:dyDescent="0.2">
      <c r="A66" s="72" t="s">
        <v>1159</v>
      </c>
      <c r="B66" s="83">
        <v>3</v>
      </c>
      <c r="C66" s="83">
        <v>32</v>
      </c>
    </row>
    <row r="67" spans="1:3" ht="13.75" x14ac:dyDescent="0.2">
      <c r="A67" s="72" t="s">
        <v>989</v>
      </c>
      <c r="B67" s="83">
        <v>8.5</v>
      </c>
      <c r="C67" s="83">
        <v>6.2</v>
      </c>
    </row>
    <row r="68" spans="1:3" ht="13.75" x14ac:dyDescent="0.2">
      <c r="A68" s="180" t="s">
        <v>990</v>
      </c>
      <c r="B68" s="148">
        <v>0.7</v>
      </c>
      <c r="C68" s="148">
        <v>3.4</v>
      </c>
    </row>
    <row r="69" spans="1:3" ht="13.75" x14ac:dyDescent="0.2">
      <c r="A69" s="138" t="s">
        <v>964</v>
      </c>
      <c r="B69" s="169">
        <f>+B68+B67+B66+B64+B65</f>
        <v>21.3</v>
      </c>
      <c r="C69" s="169">
        <f>+C68+C67+C66+C64+C65</f>
        <v>132.80000000000001</v>
      </c>
    </row>
    <row r="70" spans="1:3" ht="13.75" x14ac:dyDescent="0.2">
      <c r="A70" s="26" t="s">
        <v>991</v>
      </c>
      <c r="B70" s="83">
        <v>2</v>
      </c>
      <c r="C70" s="83">
        <v>4.5</v>
      </c>
    </row>
    <row r="71" spans="1:3" ht="13.75" x14ac:dyDescent="0.2">
      <c r="A71" s="72" t="s">
        <v>992</v>
      </c>
      <c r="B71" s="83">
        <v>3.2</v>
      </c>
      <c r="C71" s="83">
        <v>7.8</v>
      </c>
    </row>
    <row r="72" spans="1:3" ht="13.75" x14ac:dyDescent="0.2">
      <c r="A72" s="72" t="s">
        <v>993</v>
      </c>
      <c r="B72" s="83">
        <v>1</v>
      </c>
      <c r="C72" s="83">
        <v>2.9</v>
      </c>
    </row>
    <row r="73" spans="1:3" ht="13.75" x14ac:dyDescent="0.2">
      <c r="A73" s="72" t="s">
        <v>994</v>
      </c>
      <c r="B73" s="83">
        <v>-3.3</v>
      </c>
      <c r="C73" s="83">
        <v>-11.9</v>
      </c>
    </row>
    <row r="74" spans="1:3" ht="13.75" x14ac:dyDescent="0.2">
      <c r="A74" s="166" t="s">
        <v>995</v>
      </c>
      <c r="B74" s="167">
        <v>-2.9</v>
      </c>
      <c r="C74" s="167">
        <v>-12.3</v>
      </c>
    </row>
    <row r="75" spans="1:3" ht="13.75" x14ac:dyDescent="0.2">
      <c r="A75" s="30" t="s">
        <v>1161</v>
      </c>
      <c r="B75" s="167">
        <f>+B70+B71+B72+B73+B74</f>
        <v>0</v>
      </c>
      <c r="C75" s="167">
        <f>+C70+C71+C72+C73+C74</f>
        <v>-9</v>
      </c>
    </row>
    <row r="76" spans="1:3" ht="13.75" x14ac:dyDescent="0.2">
      <c r="A76" s="75" t="s">
        <v>1160</v>
      </c>
      <c r="B76" s="148">
        <v>0</v>
      </c>
      <c r="C76" s="148">
        <v>0</v>
      </c>
    </row>
    <row r="77" spans="1:3" ht="13.75" x14ac:dyDescent="0.2">
      <c r="A77" s="142" t="s">
        <v>413</v>
      </c>
      <c r="B77" s="168">
        <f>+B76+B75</f>
        <v>0</v>
      </c>
      <c r="C77" s="168">
        <f>+C76+C75</f>
        <v>-9</v>
      </c>
    </row>
    <row r="78" spans="1:3" ht="13.75" x14ac:dyDescent="0.2">
      <c r="A78" s="135"/>
      <c r="B78" s="181"/>
      <c r="C78" s="181"/>
    </row>
    <row r="79" spans="1:3" ht="13.75" x14ac:dyDescent="0.2">
      <c r="A79" s="30" t="s">
        <v>996</v>
      </c>
      <c r="B79" s="167">
        <v>20.9</v>
      </c>
      <c r="C79" s="167">
        <v>70.3</v>
      </c>
    </row>
    <row r="80" spans="1:3" ht="13.75" x14ac:dyDescent="0.2">
      <c r="A80" s="75" t="s">
        <v>281</v>
      </c>
      <c r="B80" s="148">
        <v>0</v>
      </c>
      <c r="C80" s="148">
        <v>3.4</v>
      </c>
    </row>
    <row r="81" spans="1:3" ht="13.75" x14ac:dyDescent="0.2">
      <c r="A81" s="138" t="s">
        <v>300</v>
      </c>
      <c r="B81" s="169">
        <f>+B79+B80</f>
        <v>20.9</v>
      </c>
      <c r="C81" s="169">
        <f>+C79+C80</f>
        <v>73.7</v>
      </c>
    </row>
    <row r="82" spans="1:3" ht="13.75" x14ac:dyDescent="0.2">
      <c r="A82" s="26" t="s">
        <v>1162</v>
      </c>
      <c r="B82" s="167">
        <v>1.2</v>
      </c>
      <c r="C82" s="167">
        <v>4</v>
      </c>
    </row>
    <row r="83" spans="1:3" ht="13.75" x14ac:dyDescent="0.2">
      <c r="A83" s="26" t="s">
        <v>1163</v>
      </c>
      <c r="B83" s="167">
        <v>0.7</v>
      </c>
      <c r="C83" s="167">
        <v>9.6999999999999993</v>
      </c>
    </row>
    <row r="84" spans="1:3" ht="13.75" x14ac:dyDescent="0.2">
      <c r="A84" s="26" t="s">
        <v>1164</v>
      </c>
      <c r="B84" s="167">
        <v>0.1</v>
      </c>
      <c r="C84" s="167">
        <v>2.4</v>
      </c>
    </row>
    <row r="85" spans="1:3" ht="13.75" x14ac:dyDescent="0.2">
      <c r="A85" s="58" t="s">
        <v>1165</v>
      </c>
      <c r="B85" s="181">
        <f>+B84+B83+B82</f>
        <v>2</v>
      </c>
      <c r="C85" s="181">
        <f>+C84+C83+C82</f>
        <v>16.100000000000001</v>
      </c>
    </row>
    <row r="86" spans="1:3" ht="13.75" x14ac:dyDescent="0.2">
      <c r="A86" s="72" t="s">
        <v>1166</v>
      </c>
      <c r="B86" s="167">
        <v>0</v>
      </c>
      <c r="C86" s="167">
        <v>36.700000000000003</v>
      </c>
    </row>
    <row r="87" spans="1:3" ht="13.75" x14ac:dyDescent="0.2">
      <c r="A87" s="72" t="s">
        <v>997</v>
      </c>
      <c r="B87" s="167">
        <v>0.2</v>
      </c>
      <c r="C87" s="167">
        <v>3.4</v>
      </c>
    </row>
    <row r="88" spans="1:3" ht="13.75" x14ac:dyDescent="0.2">
      <c r="A88" s="180" t="s">
        <v>247</v>
      </c>
      <c r="B88" s="148">
        <v>1.8</v>
      </c>
      <c r="C88" s="148">
        <v>5.8</v>
      </c>
    </row>
    <row r="89" spans="1:3" ht="13.75" x14ac:dyDescent="0.2">
      <c r="A89" s="142" t="s">
        <v>981</v>
      </c>
      <c r="B89" s="168">
        <f>B86+B87-B88</f>
        <v>-1.6</v>
      </c>
      <c r="C89" s="168">
        <f>C86+C87-C88</f>
        <v>34.300000000000004</v>
      </c>
    </row>
    <row r="90" spans="1:3" ht="13.75" x14ac:dyDescent="0.2">
      <c r="A90" s="142" t="s">
        <v>1322</v>
      </c>
      <c r="B90" s="168">
        <f>+B86+B87-B88+B85</f>
        <v>0.39999999999999991</v>
      </c>
      <c r="C90" s="168">
        <f>+C86+C87-C88+C85</f>
        <v>50.400000000000006</v>
      </c>
    </row>
    <row r="92" spans="1:3" ht="13.75" x14ac:dyDescent="0.2">
      <c r="A92" s="26" t="s">
        <v>978</v>
      </c>
      <c r="B92" s="151">
        <f>+B69+B77-B84</f>
        <v>21.2</v>
      </c>
      <c r="C92" s="151">
        <f>+C69+C77-C84</f>
        <v>121.4</v>
      </c>
    </row>
    <row r="93" spans="1:3" ht="13.75" x14ac:dyDescent="0.2">
      <c r="A93" s="26" t="s">
        <v>1167</v>
      </c>
      <c r="B93" s="83">
        <f>B52</f>
        <v>3.9000000000000017</v>
      </c>
      <c r="C93" s="83">
        <f>C52</f>
        <v>9.8000000000000043</v>
      </c>
    </row>
    <row r="94" spans="1:3" ht="13.75" x14ac:dyDescent="0.2">
      <c r="A94" s="26" t="s">
        <v>1168</v>
      </c>
      <c r="B94" s="110">
        <v>0.26</v>
      </c>
      <c r="C94" s="110">
        <f>-C58/C57</f>
        <v>0.2345679012345678</v>
      </c>
    </row>
    <row r="95" spans="1:3" ht="13.75" x14ac:dyDescent="0.2">
      <c r="A95" s="26" t="s">
        <v>198</v>
      </c>
      <c r="B95" s="83">
        <f>B94*B93</f>
        <v>1.0140000000000005</v>
      </c>
      <c r="C95" s="83">
        <f>C94*C93</f>
        <v>2.2987654320987656</v>
      </c>
    </row>
    <row r="96" spans="1:3" ht="13.75" x14ac:dyDescent="0.2">
      <c r="A96" s="58" t="s">
        <v>1008</v>
      </c>
      <c r="B96" s="182">
        <f>(B93-B95)/B92</f>
        <v>0.13613207547169817</v>
      </c>
      <c r="C96" s="182">
        <f>(C93-C95)/C92</f>
        <v>6.1789411597209548E-2</v>
      </c>
    </row>
    <row r="97" spans="1:4" ht="13.75" x14ac:dyDescent="0.2">
      <c r="B97" s="110"/>
      <c r="C97" s="110"/>
    </row>
    <row r="98" spans="1:4" ht="13.75" x14ac:dyDescent="0.2">
      <c r="A98" s="26" t="s">
        <v>1169</v>
      </c>
      <c r="B98" s="83">
        <f>B79+B83+B80</f>
        <v>21.599999999999998</v>
      </c>
      <c r="C98" s="83">
        <f>C79+C83</f>
        <v>80</v>
      </c>
    </row>
    <row r="99" spans="1:4" ht="13.75" x14ac:dyDescent="0.2">
      <c r="A99" s="26" t="s">
        <v>197</v>
      </c>
      <c r="B99" s="83">
        <f>B60</f>
        <v>2.9000000000000017</v>
      </c>
      <c r="C99" s="83">
        <f>C60-C53</f>
        <v>5.5000000000000036</v>
      </c>
    </row>
    <row r="100" spans="1:4" ht="13.75" x14ac:dyDescent="0.2">
      <c r="A100" s="58" t="s">
        <v>1170</v>
      </c>
      <c r="B100" s="182">
        <f>B99/B98</f>
        <v>0.13425925925925936</v>
      </c>
      <c r="C100" s="182">
        <f>C99/C98</f>
        <v>6.8750000000000047E-2</v>
      </c>
    </row>
    <row r="109" spans="1:4" ht="13.75" x14ac:dyDescent="0.2">
      <c r="D109" s="151"/>
    </row>
    <row r="115" spans="1:6" ht="13.75" x14ac:dyDescent="0.2">
      <c r="D115" s="26" t="s">
        <v>696</v>
      </c>
    </row>
    <row r="116" spans="1:6" ht="13.75" x14ac:dyDescent="0.2">
      <c r="D116" s="26" t="s">
        <v>696</v>
      </c>
    </row>
    <row r="117" spans="1:6" ht="13.75" x14ac:dyDescent="0.2">
      <c r="B117" s="83"/>
    </row>
    <row r="118" spans="1:6" ht="13.75" x14ac:dyDescent="0.2">
      <c r="A118" s="60"/>
      <c r="B118" s="83"/>
    </row>
    <row r="123" spans="1:6" ht="13.75" x14ac:dyDescent="0.2">
      <c r="D123" s="26" t="s">
        <v>696</v>
      </c>
      <c r="E123" s="26" t="s">
        <v>696</v>
      </c>
    </row>
    <row r="124" spans="1:6" ht="13.75" x14ac:dyDescent="0.2">
      <c r="D124" s="26" t="s">
        <v>696</v>
      </c>
      <c r="F124" s="26" t="s">
        <v>696</v>
      </c>
    </row>
    <row r="125" spans="1:6" ht="13.75" x14ac:dyDescent="0.2">
      <c r="D125" s="26" t="s">
        <v>696</v>
      </c>
      <c r="F125" s="26" t="s">
        <v>696</v>
      </c>
    </row>
    <row r="126" spans="1:6" ht="13.75" x14ac:dyDescent="0.2">
      <c r="D126" s="26" t="s">
        <v>696</v>
      </c>
      <c r="F126" s="174" t="s">
        <v>696</v>
      </c>
    </row>
  </sheetData>
  <phoneticPr fontId="4" type="noConversion"/>
  <pageMargins left="0.7" right="0.7" top="0.75" bottom="0.75" header="0.3" footer="0.3"/>
  <pageSetup paperSize="9" scale="78" fitToHeight="0"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221"/>
  <sheetViews>
    <sheetView showGridLines="0" topLeftCell="A187" workbookViewId="0">
      <selection activeCell="C20" sqref="C20"/>
    </sheetView>
  </sheetViews>
  <sheetFormatPr baseColWidth="10" defaultColWidth="10.6640625" defaultRowHeight="14" x14ac:dyDescent="0.15"/>
  <cols>
    <col min="1" max="1" width="29.83203125" style="9" customWidth="1"/>
    <col min="2" max="2" width="12" style="9" bestFit="1" customWidth="1"/>
    <col min="3" max="6" width="10.6640625" style="9"/>
    <col min="7" max="8" width="9.6640625" style="9" bestFit="1" customWidth="1"/>
    <col min="9" max="10" width="7.1640625" style="9" bestFit="1" customWidth="1"/>
    <col min="11" max="42" width="7.33203125" style="9" customWidth="1"/>
    <col min="43" max="80" width="3.5" style="9" customWidth="1"/>
    <col min="81" max="16384" width="10.6640625" style="9"/>
  </cols>
  <sheetData>
    <row r="1" spans="1:4" x14ac:dyDescent="0.15">
      <c r="A1" s="32" t="s">
        <v>352</v>
      </c>
    </row>
    <row r="2" spans="1:4" x14ac:dyDescent="0.15">
      <c r="A2" s="9" t="s">
        <v>1014</v>
      </c>
      <c r="B2" s="43">
        <v>100</v>
      </c>
      <c r="C2" s="43">
        <v>100</v>
      </c>
      <c r="D2" s="43">
        <v>100</v>
      </c>
    </row>
    <row r="3" spans="1:4" x14ac:dyDescent="0.15">
      <c r="A3" s="9" t="s">
        <v>1013</v>
      </c>
      <c r="B3" s="9">
        <v>3</v>
      </c>
      <c r="C3" s="9">
        <v>3</v>
      </c>
      <c r="D3" s="9">
        <v>3</v>
      </c>
    </row>
    <row r="4" spans="1:4" x14ac:dyDescent="0.15">
      <c r="A4" s="9" t="s">
        <v>1012</v>
      </c>
      <c r="B4" s="104">
        <v>0.05</v>
      </c>
      <c r="C4" s="104">
        <v>0.1</v>
      </c>
      <c r="D4" s="104">
        <v>0.2</v>
      </c>
    </row>
    <row r="5" spans="1:4" x14ac:dyDescent="0.15">
      <c r="A5" s="13" t="s">
        <v>1011</v>
      </c>
      <c r="B5" s="170">
        <f>B2/POWER(1+B4,B3)</f>
        <v>86.383759853147595</v>
      </c>
      <c r="C5" s="170">
        <f>C2/POWER(1+C4,C3)</f>
        <v>75.131480090157751</v>
      </c>
      <c r="D5" s="170">
        <f>D2/POWER(1+D4,D3)</f>
        <v>57.870370370370374</v>
      </c>
    </row>
    <row r="7" spans="1:4" x14ac:dyDescent="0.15">
      <c r="A7" s="32" t="s">
        <v>974</v>
      </c>
    </row>
    <row r="8" spans="1:4" x14ac:dyDescent="0.15">
      <c r="A8" s="9" t="s">
        <v>1015</v>
      </c>
      <c r="B8" s="43">
        <v>100</v>
      </c>
      <c r="C8" s="43">
        <v>100</v>
      </c>
      <c r="D8" s="43">
        <v>100</v>
      </c>
    </row>
    <row r="9" spans="1:4" x14ac:dyDescent="0.15">
      <c r="A9" s="9" t="s">
        <v>1013</v>
      </c>
      <c r="B9" s="9">
        <v>3</v>
      </c>
      <c r="C9" s="9">
        <v>5</v>
      </c>
      <c r="D9" s="9">
        <v>10</v>
      </c>
    </row>
    <row r="10" spans="1:4" x14ac:dyDescent="0.15">
      <c r="A10" s="9" t="s">
        <v>1012</v>
      </c>
      <c r="B10" s="104">
        <v>0.1</v>
      </c>
      <c r="C10" s="104">
        <v>0.1</v>
      </c>
      <c r="D10" s="104">
        <v>0.1</v>
      </c>
    </row>
    <row r="11" spans="1:4" x14ac:dyDescent="0.15">
      <c r="A11" s="9" t="s">
        <v>1011</v>
      </c>
      <c r="B11" s="42">
        <f>B8/POWER(1+B10,B9)</f>
        <v>75.131480090157751</v>
      </c>
      <c r="C11" s="42">
        <f>C8/POWER(1+C10,C9)</f>
        <v>62.092132305915499</v>
      </c>
      <c r="D11" s="42">
        <f>D8/POWER(1+D10,D9)</f>
        <v>38.554328942953148</v>
      </c>
    </row>
    <row r="12" spans="1:4" x14ac:dyDescent="0.15">
      <c r="A12" s="9" t="s">
        <v>1029</v>
      </c>
      <c r="B12" s="188">
        <f>B11/B8</f>
        <v>0.75131480090157754</v>
      </c>
      <c r="C12" s="188">
        <f>C11/C8</f>
        <v>0.62092132305915504</v>
      </c>
      <c r="D12" s="188">
        <f>D11/D8</f>
        <v>0.38554328942953148</v>
      </c>
    </row>
    <row r="14" spans="1:4" x14ac:dyDescent="0.15">
      <c r="A14" s="32" t="s">
        <v>984</v>
      </c>
    </row>
    <row r="15" spans="1:4" x14ac:dyDescent="0.15">
      <c r="A15" s="9" t="s">
        <v>1017</v>
      </c>
      <c r="B15" s="43">
        <v>1000</v>
      </c>
      <c r="C15" s="43">
        <v>1000</v>
      </c>
      <c r="D15" s="43">
        <v>1000</v>
      </c>
    </row>
    <row r="16" spans="1:4" x14ac:dyDescent="0.15">
      <c r="A16" s="9" t="s">
        <v>1013</v>
      </c>
      <c r="B16" s="9">
        <v>5</v>
      </c>
      <c r="C16" s="9">
        <v>5</v>
      </c>
      <c r="D16" s="9">
        <v>5</v>
      </c>
    </row>
    <row r="17" spans="1:6" x14ac:dyDescent="0.15">
      <c r="A17" s="9" t="s">
        <v>1012</v>
      </c>
      <c r="B17" s="104">
        <v>0.05</v>
      </c>
      <c r="C17" s="104">
        <v>0.1</v>
      </c>
      <c r="D17" s="104">
        <v>0.2</v>
      </c>
    </row>
    <row r="18" spans="1:6" x14ac:dyDescent="0.15">
      <c r="A18" s="9" t="s">
        <v>1018</v>
      </c>
      <c r="B18" s="43">
        <f>B15*POWER(1+B17,B16)</f>
        <v>1276.2815625000001</v>
      </c>
      <c r="C18" s="43">
        <f>C15*POWER(1+C17,C16)</f>
        <v>1610.5100000000004</v>
      </c>
      <c r="D18" s="43">
        <f>D15*POWER(1+D17,D16)</f>
        <v>2488.3199999999997</v>
      </c>
    </row>
    <row r="20" spans="1:6" x14ac:dyDescent="0.15">
      <c r="A20" s="32" t="s">
        <v>470</v>
      </c>
    </row>
    <row r="21" spans="1:6" x14ac:dyDescent="0.15">
      <c r="A21" s="9" t="s">
        <v>1017</v>
      </c>
      <c r="B21" s="43">
        <v>1000</v>
      </c>
      <c r="C21" s="43">
        <v>1000</v>
      </c>
      <c r="D21" s="43">
        <v>1000</v>
      </c>
    </row>
    <row r="22" spans="1:6" x14ac:dyDescent="0.15">
      <c r="A22" s="9" t="s">
        <v>1013</v>
      </c>
      <c r="B22" s="9">
        <v>5</v>
      </c>
      <c r="C22" s="9">
        <v>10</v>
      </c>
      <c r="D22" s="9">
        <v>20</v>
      </c>
    </row>
    <row r="23" spans="1:6" x14ac:dyDescent="0.15">
      <c r="A23" s="9" t="s">
        <v>1012</v>
      </c>
      <c r="B23" s="104">
        <v>0.08</v>
      </c>
      <c r="C23" s="104">
        <v>0.08</v>
      </c>
      <c r="D23" s="104">
        <v>0.08</v>
      </c>
    </row>
    <row r="24" spans="1:6" x14ac:dyDescent="0.15">
      <c r="A24" s="9" t="s">
        <v>1018</v>
      </c>
      <c r="B24" s="43">
        <f>B21*POWER(1+B23,B22)</f>
        <v>1469.3280768000004</v>
      </c>
      <c r="C24" s="43">
        <f>C21*POWER(1+C23,C22)</f>
        <v>2158.9249972727876</v>
      </c>
      <c r="D24" s="43">
        <f>D21*POWER(1+D23,D22)</f>
        <v>4660.9571438493067</v>
      </c>
    </row>
    <row r="26" spans="1:6" x14ac:dyDescent="0.15">
      <c r="A26" s="32" t="s">
        <v>490</v>
      </c>
    </row>
    <row r="27" spans="1:6" x14ac:dyDescent="0.15">
      <c r="A27" s="29" t="s">
        <v>795</v>
      </c>
      <c r="B27" s="187" t="s">
        <v>1019</v>
      </c>
      <c r="C27" s="29"/>
      <c r="D27" s="187" t="s">
        <v>1025</v>
      </c>
      <c r="E27" s="29"/>
      <c r="F27" s="186" t="s">
        <v>962</v>
      </c>
    </row>
    <row r="28" spans="1:6" x14ac:dyDescent="0.15">
      <c r="A28" s="9" t="s">
        <v>1020</v>
      </c>
      <c r="B28" s="185">
        <v>0</v>
      </c>
      <c r="C28" s="183">
        <v>1</v>
      </c>
      <c r="D28" s="185"/>
      <c r="E28" s="183"/>
      <c r="F28" s="185"/>
    </row>
    <row r="29" spans="1:6" x14ac:dyDescent="0.15">
      <c r="A29" s="9" t="s">
        <v>1021</v>
      </c>
      <c r="B29" s="185">
        <f>10000*0.95</f>
        <v>9500</v>
      </c>
      <c r="C29" s="183"/>
      <c r="D29" s="185">
        <f>B29/POWER(1+$B$32,B$28)</f>
        <v>9500</v>
      </c>
      <c r="E29" s="183">
        <f>C29/POWER(1+$B$32,C$28)</f>
        <v>0</v>
      </c>
      <c r="F29" s="185">
        <f>SUM(D29:E29)</f>
        <v>9500</v>
      </c>
    </row>
    <row r="30" spans="1:6" x14ac:dyDescent="0.15">
      <c r="A30" s="9" t="s">
        <v>1214</v>
      </c>
      <c r="B30" s="185">
        <f>10000/2</f>
        <v>5000</v>
      </c>
      <c r="C30" s="183">
        <f>B30</f>
        <v>5000</v>
      </c>
      <c r="D30" s="185">
        <f>B30/POWER(1+$B$32,B$28)</f>
        <v>5000</v>
      </c>
      <c r="E30" s="183">
        <f>C30/POWER(1+$B$32,C$28)</f>
        <v>4500.4500450045007</v>
      </c>
      <c r="F30" s="185">
        <f>SUM(D30:E30)</f>
        <v>9500.4500450045016</v>
      </c>
    </row>
    <row r="32" spans="1:6" x14ac:dyDescent="0.15">
      <c r="A32" s="9" t="s">
        <v>1028</v>
      </c>
      <c r="B32" s="164">
        <v>0.111</v>
      </c>
    </row>
    <row r="34" spans="1:3" x14ac:dyDescent="0.15">
      <c r="A34" s="32" t="s">
        <v>1009</v>
      </c>
    </row>
    <row r="35" spans="1:3" x14ac:dyDescent="0.15">
      <c r="A35" s="9" t="s">
        <v>1023</v>
      </c>
      <c r="B35" s="9">
        <v>100</v>
      </c>
    </row>
    <row r="36" spans="1:3" x14ac:dyDescent="0.15">
      <c r="A36" s="9" t="s">
        <v>1216</v>
      </c>
      <c r="B36" s="188">
        <f>3+5/12+17/365</f>
        <v>3.4632420091324199</v>
      </c>
      <c r="C36" s="9" t="s">
        <v>1099</v>
      </c>
    </row>
    <row r="37" spans="1:3" x14ac:dyDescent="0.15">
      <c r="A37" s="9" t="s">
        <v>1215</v>
      </c>
      <c r="B37" s="15">
        <f>B35/1.08^B36</f>
        <v>76.602941382517059</v>
      </c>
    </row>
    <row r="38" spans="1:3" x14ac:dyDescent="0.15">
      <c r="A38" s="9" t="s">
        <v>1012</v>
      </c>
      <c r="B38" s="105">
        <v>0.08</v>
      </c>
    </row>
    <row r="40" spans="1:3" x14ac:dyDescent="0.15">
      <c r="A40" s="32" t="s">
        <v>1010</v>
      </c>
    </row>
    <row r="41" spans="1:3" x14ac:dyDescent="0.15">
      <c r="A41" s="9" t="s">
        <v>1022</v>
      </c>
      <c r="B41" s="9">
        <v>8</v>
      </c>
    </row>
    <row r="42" spans="1:3" x14ac:dyDescent="0.15">
      <c r="A42" s="9" t="s">
        <v>1012</v>
      </c>
      <c r="B42" s="184">
        <v>0.05</v>
      </c>
      <c r="C42" s="104"/>
    </row>
    <row r="43" spans="1:3" x14ac:dyDescent="0.15">
      <c r="A43" s="9" t="s">
        <v>1016</v>
      </c>
      <c r="B43" s="16">
        <f>POWER(1+B42,B41)</f>
        <v>1.4774554437890626</v>
      </c>
      <c r="C43" s="16"/>
    </row>
    <row r="44" spans="1:3" x14ac:dyDescent="0.15">
      <c r="A44" s="9" t="s">
        <v>1024</v>
      </c>
      <c r="B44" s="43">
        <v>100</v>
      </c>
      <c r="C44" s="24"/>
    </row>
    <row r="46" spans="1:3" x14ac:dyDescent="0.15">
      <c r="A46" s="9" t="s">
        <v>1030</v>
      </c>
      <c r="B46" s="42">
        <f>B44/B43</f>
        <v>67.683936202868722</v>
      </c>
      <c r="C46" s="189"/>
    </row>
    <row r="48" spans="1:3" x14ac:dyDescent="0.15">
      <c r="A48" s="32" t="s">
        <v>1031</v>
      </c>
    </row>
    <row r="49" spans="1:7" x14ac:dyDescent="0.15">
      <c r="A49" s="29" t="s">
        <v>795</v>
      </c>
      <c r="B49" s="187" t="s">
        <v>1019</v>
      </c>
      <c r="C49" s="29"/>
      <c r="D49" s="187" t="s">
        <v>1025</v>
      </c>
      <c r="E49" s="29"/>
      <c r="F49" s="186" t="s">
        <v>962</v>
      </c>
    </row>
    <row r="50" spans="1:7" x14ac:dyDescent="0.15">
      <c r="A50" s="9" t="s">
        <v>1020</v>
      </c>
      <c r="B50" s="190">
        <v>0</v>
      </c>
      <c r="C50" s="9">
        <v>4</v>
      </c>
      <c r="D50" s="190"/>
      <c r="F50" s="190"/>
    </row>
    <row r="51" spans="1:7" x14ac:dyDescent="0.15">
      <c r="A51" s="9" t="s">
        <v>1026</v>
      </c>
      <c r="B51" s="191">
        <v>100</v>
      </c>
      <c r="C51" s="24"/>
      <c r="D51" s="191">
        <f>B51/POWER(1+$B$54,B$50)</f>
        <v>100</v>
      </c>
      <c r="E51" s="24">
        <f>C51/POWER(1+$B$54,C$50)</f>
        <v>0</v>
      </c>
      <c r="F51" s="191">
        <f>SUM(D51:E51)</f>
        <v>100</v>
      </c>
    </row>
    <row r="52" spans="1:7" x14ac:dyDescent="0.15">
      <c r="A52" s="9" t="s">
        <v>1027</v>
      </c>
      <c r="B52" s="191">
        <v>0</v>
      </c>
      <c r="C52" s="24">
        <v>131.1</v>
      </c>
      <c r="D52" s="191">
        <f>B52/POWER(1+$B$54,B$50)</f>
        <v>0</v>
      </c>
      <c r="E52" s="24">
        <f>C52/POWER(1+$B$54,C$50)</f>
        <v>100.01556229943056</v>
      </c>
      <c r="F52" s="191">
        <f>SUM(D52:E52)</f>
        <v>100.01556229943056</v>
      </c>
    </row>
    <row r="54" spans="1:7" x14ac:dyDescent="0.15">
      <c r="A54" s="9" t="s">
        <v>1028</v>
      </c>
      <c r="B54" s="104">
        <v>7.0000000000000007E-2</v>
      </c>
    </row>
    <row r="56" spans="1:7" x14ac:dyDescent="0.15">
      <c r="A56" s="32" t="s">
        <v>1032</v>
      </c>
    </row>
    <row r="57" spans="1:7" x14ac:dyDescent="0.15">
      <c r="A57" s="26" t="s">
        <v>1039</v>
      </c>
      <c r="B57" s="9">
        <v>2</v>
      </c>
    </row>
    <row r="58" spans="1:7" x14ac:dyDescent="0.15">
      <c r="A58" s="9" t="s">
        <v>51</v>
      </c>
      <c r="B58" s="9">
        <v>1</v>
      </c>
      <c r="C58" s="9">
        <v>2</v>
      </c>
      <c r="D58" s="9">
        <v>3</v>
      </c>
      <c r="E58" s="9">
        <v>4</v>
      </c>
      <c r="F58" s="9">
        <v>5</v>
      </c>
      <c r="G58" s="9">
        <v>6</v>
      </c>
    </row>
    <row r="59" spans="1:7" x14ac:dyDescent="0.15">
      <c r="A59" s="9" t="s">
        <v>1012</v>
      </c>
      <c r="B59" s="123">
        <f t="shared" ref="B59:G59" si="0">POWER($B57,1/B58)-1</f>
        <v>1</v>
      </c>
      <c r="C59" s="123">
        <f t="shared" si="0"/>
        <v>0.41421356237309515</v>
      </c>
      <c r="D59" s="123">
        <f t="shared" si="0"/>
        <v>0.25992104989487319</v>
      </c>
      <c r="E59" s="123">
        <f t="shared" si="0"/>
        <v>0.18920711500272103</v>
      </c>
      <c r="F59" s="123">
        <f t="shared" si="0"/>
        <v>0.1486983549970351</v>
      </c>
      <c r="G59" s="123">
        <f t="shared" si="0"/>
        <v>0.12246204830937302</v>
      </c>
    </row>
    <row r="60" spans="1:7" x14ac:dyDescent="0.15">
      <c r="A60" s="9" t="s">
        <v>796</v>
      </c>
      <c r="B60" s="105">
        <f t="shared" ref="B60:G60" si="1">0.75/B58</f>
        <v>0.75</v>
      </c>
      <c r="C60" s="105">
        <f t="shared" si="1"/>
        <v>0.375</v>
      </c>
      <c r="D60" s="105">
        <f t="shared" si="1"/>
        <v>0.25</v>
      </c>
      <c r="E60" s="105">
        <f t="shared" si="1"/>
        <v>0.1875</v>
      </c>
      <c r="F60" s="105">
        <f t="shared" si="1"/>
        <v>0.15</v>
      </c>
      <c r="G60" s="105">
        <f t="shared" si="1"/>
        <v>0.125</v>
      </c>
    </row>
    <row r="62" spans="1:7" x14ac:dyDescent="0.15">
      <c r="A62" s="32" t="s">
        <v>1033</v>
      </c>
    </row>
    <row r="63" spans="1:7" x14ac:dyDescent="0.15">
      <c r="A63" s="26" t="s">
        <v>1039</v>
      </c>
      <c r="B63" s="9">
        <v>3</v>
      </c>
    </row>
    <row r="64" spans="1:7" x14ac:dyDescent="0.15">
      <c r="A64" s="9" t="s">
        <v>51</v>
      </c>
      <c r="B64" s="9">
        <v>1</v>
      </c>
      <c r="C64" s="9">
        <v>2</v>
      </c>
      <c r="D64" s="9">
        <v>3</v>
      </c>
      <c r="E64" s="9">
        <v>4</v>
      </c>
      <c r="F64" s="9">
        <v>5</v>
      </c>
      <c r="G64" s="9">
        <v>6</v>
      </c>
    </row>
    <row r="65" spans="1:7" x14ac:dyDescent="0.15">
      <c r="A65" s="9" t="s">
        <v>1012</v>
      </c>
      <c r="B65" s="123">
        <f t="shared" ref="B65:G65" si="2">POWER($B63,1/B64)-1</f>
        <v>2</v>
      </c>
      <c r="C65" s="123">
        <f t="shared" si="2"/>
        <v>0.73205080756887719</v>
      </c>
      <c r="D65" s="123">
        <f t="shared" si="2"/>
        <v>0.4422495703074083</v>
      </c>
      <c r="E65" s="123">
        <f t="shared" si="2"/>
        <v>0.3160740129524926</v>
      </c>
      <c r="F65" s="123">
        <f t="shared" si="2"/>
        <v>0.2457309396155174</v>
      </c>
      <c r="G65" s="123">
        <f t="shared" si="2"/>
        <v>0.20093695517600274</v>
      </c>
    </row>
    <row r="66" spans="1:7" x14ac:dyDescent="0.15">
      <c r="A66" s="9" t="s">
        <v>797</v>
      </c>
      <c r="B66" s="105">
        <f t="shared" ref="B66:G66" si="3">1.25/B64</f>
        <v>1.25</v>
      </c>
      <c r="C66" s="105">
        <f t="shared" si="3"/>
        <v>0.625</v>
      </c>
      <c r="D66" s="105">
        <f t="shared" si="3"/>
        <v>0.41666666666666669</v>
      </c>
      <c r="E66" s="105">
        <f t="shared" si="3"/>
        <v>0.3125</v>
      </c>
      <c r="F66" s="105">
        <f t="shared" si="3"/>
        <v>0.25</v>
      </c>
      <c r="G66" s="105">
        <f t="shared" si="3"/>
        <v>0.20833333333333334</v>
      </c>
    </row>
    <row r="68" spans="1:7" x14ac:dyDescent="0.15">
      <c r="A68" s="32" t="s">
        <v>1034</v>
      </c>
    </row>
    <row r="69" spans="1:7" x14ac:dyDescent="0.15">
      <c r="A69" s="9" t="s">
        <v>1024</v>
      </c>
      <c r="B69" s="126">
        <v>121</v>
      </c>
      <c r="C69" s="126">
        <v>121</v>
      </c>
    </row>
    <row r="70" spans="1:7" x14ac:dyDescent="0.15">
      <c r="A70" s="9" t="s">
        <v>1013</v>
      </c>
      <c r="B70" s="106">
        <v>2</v>
      </c>
      <c r="C70" s="106">
        <v>2</v>
      </c>
    </row>
    <row r="71" spans="1:7" x14ac:dyDescent="0.15">
      <c r="A71" s="9" t="s">
        <v>1040</v>
      </c>
      <c r="B71" s="192">
        <v>0.09</v>
      </c>
      <c r="C71" s="192">
        <v>0.08</v>
      </c>
    </row>
    <row r="72" spans="1:7" x14ac:dyDescent="0.15">
      <c r="A72" s="9" t="s">
        <v>1041</v>
      </c>
      <c r="B72" s="165">
        <f>B69/POWER(1+B71,B70)</f>
        <v>101.84327918525375</v>
      </c>
      <c r="C72" s="165">
        <f>C69/POWER(1+C71,C70)</f>
        <v>103.73799725651577</v>
      </c>
    </row>
    <row r="74" spans="1:7" x14ac:dyDescent="0.15">
      <c r="A74" s="32" t="s">
        <v>1035</v>
      </c>
    </row>
    <row r="75" spans="1:7" x14ac:dyDescent="0.15">
      <c r="A75" s="9" t="s">
        <v>1042</v>
      </c>
      <c r="B75" s="126">
        <v>30</v>
      </c>
      <c r="C75" s="9" t="s">
        <v>1044</v>
      </c>
    </row>
    <row r="76" spans="1:7" x14ac:dyDescent="0.15">
      <c r="A76" s="9" t="s">
        <v>1043</v>
      </c>
      <c r="B76" s="9">
        <v>33</v>
      </c>
    </row>
    <row r="77" spans="1:7" x14ac:dyDescent="0.15">
      <c r="A77" s="9" t="s">
        <v>1323</v>
      </c>
      <c r="B77" s="9">
        <f>2014-B76</f>
        <v>1981</v>
      </c>
    </row>
    <row r="78" spans="1:7" x14ac:dyDescent="0.15">
      <c r="A78" s="9" t="s">
        <v>1012</v>
      </c>
      <c r="B78" s="104">
        <v>0.03</v>
      </c>
    </row>
    <row r="79" spans="1:7" x14ac:dyDescent="0.15">
      <c r="A79" s="9" t="s">
        <v>1023</v>
      </c>
      <c r="B79" s="193">
        <f>B75*POWER(1+B78,B77)</f>
        <v>8.084690441684343E+26</v>
      </c>
      <c r="C79" s="9" t="s">
        <v>1044</v>
      </c>
    </row>
    <row r="81" spans="1:2" x14ac:dyDescent="0.15">
      <c r="A81" s="32" t="s">
        <v>1036</v>
      </c>
      <c r="B81" s="121" t="s">
        <v>798</v>
      </c>
    </row>
    <row r="82" spans="1:2" x14ac:dyDescent="0.15">
      <c r="A82" s="9" t="s">
        <v>1042</v>
      </c>
      <c r="B82" s="198">
        <v>100</v>
      </c>
    </row>
    <row r="83" spans="1:2" x14ac:dyDescent="0.15">
      <c r="A83" s="9" t="s">
        <v>1013</v>
      </c>
      <c r="B83" s="9">
        <v>4</v>
      </c>
    </row>
    <row r="84" spans="1:2" x14ac:dyDescent="0.15">
      <c r="A84" s="9" t="s">
        <v>1012</v>
      </c>
      <c r="B84" s="104">
        <v>0.06</v>
      </c>
    </row>
    <row r="85" spans="1:2" x14ac:dyDescent="0.15">
      <c r="A85" s="9" t="s">
        <v>1324</v>
      </c>
      <c r="B85" s="188">
        <f>B82*POWER(1+B84,B83)</f>
        <v>126.24769600000003</v>
      </c>
    </row>
    <row r="87" spans="1:2" x14ac:dyDescent="0.15">
      <c r="A87" s="32" t="s">
        <v>1037</v>
      </c>
      <c r="B87" s="121" t="s">
        <v>799</v>
      </c>
    </row>
    <row r="88" spans="1:2" x14ac:dyDescent="0.15">
      <c r="A88" s="9" t="s">
        <v>1023</v>
      </c>
      <c r="B88" s="126">
        <v>635</v>
      </c>
    </row>
    <row r="89" spans="1:2" x14ac:dyDescent="0.15">
      <c r="A89" s="9" t="s">
        <v>1053</v>
      </c>
      <c r="B89" s="104">
        <v>0.12</v>
      </c>
    </row>
    <row r="90" spans="1:2" x14ac:dyDescent="0.15">
      <c r="A90" s="9" t="s">
        <v>1013</v>
      </c>
      <c r="B90" s="9">
        <v>4</v>
      </c>
    </row>
    <row r="91" spans="1:2" x14ac:dyDescent="0.15">
      <c r="A91" s="9" t="s">
        <v>1024</v>
      </c>
      <c r="B91" s="165">
        <f>B88*POWER(1+B89,B90)</f>
        <v>999.18479360000026</v>
      </c>
    </row>
    <row r="94" spans="1:2" x14ac:dyDescent="0.15">
      <c r="A94" s="32" t="s">
        <v>1038</v>
      </c>
    </row>
    <row r="95" spans="1:2" x14ac:dyDescent="0.15">
      <c r="A95" s="9" t="s">
        <v>800</v>
      </c>
      <c r="B95" s="9">
        <v>897</v>
      </c>
    </row>
    <row r="97" spans="1:6" x14ac:dyDescent="0.15">
      <c r="A97" s="194" t="s">
        <v>51</v>
      </c>
      <c r="B97" s="195">
        <v>1</v>
      </c>
      <c r="C97" s="195">
        <v>2</v>
      </c>
      <c r="D97" s="195">
        <v>3</v>
      </c>
      <c r="E97" s="195">
        <v>4</v>
      </c>
      <c r="F97" s="195">
        <v>5</v>
      </c>
    </row>
    <row r="98" spans="1:6" x14ac:dyDescent="0.15">
      <c r="A98" s="194" t="s">
        <v>1104</v>
      </c>
      <c r="B98" s="195">
        <v>300</v>
      </c>
      <c r="C98" s="195">
        <v>300</v>
      </c>
      <c r="D98" s="195">
        <v>300</v>
      </c>
      <c r="E98" s="195">
        <v>300</v>
      </c>
      <c r="F98" s="195">
        <v>300</v>
      </c>
    </row>
    <row r="100" spans="1:6" x14ac:dyDescent="0.15">
      <c r="A100" s="9" t="s">
        <v>1012</v>
      </c>
      <c r="B100" s="104" t="s">
        <v>1075</v>
      </c>
      <c r="C100" s="104"/>
      <c r="D100" s="104"/>
      <c r="E100" s="104"/>
      <c r="F100" s="104"/>
    </row>
    <row r="101" spans="1:6" x14ac:dyDescent="0.15">
      <c r="A101" s="196">
        <v>0.05</v>
      </c>
      <c r="B101" s="31">
        <f>SUMPRODUCT($B$98:$F$98,POWER(1+$A101,-$B$97:$F$97))-$B$95</f>
        <v>401.8430011892458</v>
      </c>
    </row>
    <row r="102" spans="1:6" x14ac:dyDescent="0.15">
      <c r="A102" s="196">
        <v>0.1</v>
      </c>
      <c r="B102" s="31">
        <f>SUMPRODUCT($B$98:$F$98,POWER(1+$A102,-$B$97:$F$97))-$B$95</f>
        <v>240.2360308225343</v>
      </c>
    </row>
    <row r="103" spans="1:6" x14ac:dyDescent="0.15">
      <c r="A103" s="196">
        <v>0.15</v>
      </c>
      <c r="B103" s="31">
        <f>SUMPRODUCT($B$98:$F$98,POWER(1+$A103,-$B$97:$F$97))-$B$95</f>
        <v>108.6465294034208</v>
      </c>
    </row>
    <row r="104" spans="1:6" x14ac:dyDescent="0.15">
      <c r="A104" s="196">
        <v>0.2</v>
      </c>
      <c r="B104" s="31">
        <f>SUMPRODUCT($B$98:$F$98,POWER(1+$A104,-$B$97:$F$97))-$B$95</f>
        <v>0.18364197530866022</v>
      </c>
    </row>
    <row r="105" spans="1:6" x14ac:dyDescent="0.15">
      <c r="A105" s="196">
        <v>0.25</v>
      </c>
      <c r="B105" s="31">
        <f>SUMPRODUCT($B$98:$F$98,POWER(1+$A105,-$B$97:$F$97))-$B$95</f>
        <v>-90.216000000000008</v>
      </c>
    </row>
    <row r="108" spans="1:6" x14ac:dyDescent="0.15">
      <c r="A108" s="32" t="s">
        <v>245</v>
      </c>
    </row>
    <row r="109" spans="1:6" x14ac:dyDescent="0.15">
      <c r="A109" s="9" t="s">
        <v>710</v>
      </c>
      <c r="B109" s="9">
        <v>100</v>
      </c>
    </row>
    <row r="110" spans="1:6" x14ac:dyDescent="0.15">
      <c r="A110" s="9" t="s">
        <v>1012</v>
      </c>
      <c r="B110" s="104">
        <v>0.1</v>
      </c>
    </row>
    <row r="112" spans="1:6" ht="15" x14ac:dyDescent="0.15">
      <c r="A112" s="12" t="s">
        <v>711</v>
      </c>
      <c r="B112" s="9">
        <f>B109/B110</f>
        <v>1000</v>
      </c>
    </row>
    <row r="113" spans="1:2" x14ac:dyDescent="0.15">
      <c r="A113" s="12"/>
    </row>
    <row r="114" spans="1:2" x14ac:dyDescent="0.15">
      <c r="A114" s="9" t="s">
        <v>712</v>
      </c>
      <c r="B114" s="104">
        <v>0.03</v>
      </c>
    </row>
    <row r="116" spans="1:2" ht="15" x14ac:dyDescent="0.15">
      <c r="A116" s="12" t="s">
        <v>713</v>
      </c>
      <c r="B116" s="31">
        <f>B109/(B110-B114)</f>
        <v>1428.5714285714284</v>
      </c>
    </row>
    <row r="118" spans="1:2" x14ac:dyDescent="0.15">
      <c r="A118" s="32" t="s">
        <v>1045</v>
      </c>
    </row>
    <row r="119" spans="1:2" x14ac:dyDescent="0.15">
      <c r="A119" s="9" t="s">
        <v>710</v>
      </c>
      <c r="B119" s="9">
        <v>100</v>
      </c>
    </row>
    <row r="120" spans="1:2" x14ac:dyDescent="0.15">
      <c r="A120" s="9" t="s">
        <v>1012</v>
      </c>
      <c r="B120" s="104">
        <v>0.1</v>
      </c>
    </row>
    <row r="122" spans="1:2" ht="15" x14ac:dyDescent="0.15">
      <c r="A122" s="12" t="s">
        <v>711</v>
      </c>
      <c r="B122" s="15">
        <f>B119/B120</f>
        <v>1000</v>
      </c>
    </row>
    <row r="123" spans="1:2" x14ac:dyDescent="0.15">
      <c r="A123" s="12"/>
    </row>
    <row r="124" spans="1:2" x14ac:dyDescent="0.15">
      <c r="A124" s="9" t="s">
        <v>1022</v>
      </c>
      <c r="B124" s="44">
        <v>3</v>
      </c>
    </row>
    <row r="126" spans="1:2" ht="15" x14ac:dyDescent="0.15">
      <c r="A126" s="12" t="s">
        <v>714</v>
      </c>
      <c r="B126" s="15">
        <f>B119/B120*(1-1/POWER(1+B120,B124))</f>
        <v>248.68519909842246</v>
      </c>
    </row>
    <row r="128" spans="1:2" x14ac:dyDescent="0.15">
      <c r="A128" s="32" t="s">
        <v>1046</v>
      </c>
    </row>
    <row r="129" spans="1:10" x14ac:dyDescent="0.15">
      <c r="A129" s="195" t="s">
        <v>801</v>
      </c>
      <c r="B129" s="195">
        <v>1</v>
      </c>
      <c r="C129" s="195">
        <v>2</v>
      </c>
      <c r="D129" s="195">
        <v>3</v>
      </c>
      <c r="E129" s="195">
        <v>4</v>
      </c>
      <c r="F129" s="121"/>
      <c r="G129" s="121"/>
      <c r="H129" s="121"/>
      <c r="I129" s="121"/>
      <c r="J129" s="121"/>
    </row>
    <row r="130" spans="1:10" x14ac:dyDescent="0.15">
      <c r="A130" s="195" t="s">
        <v>1104</v>
      </c>
      <c r="B130" s="195">
        <v>52</v>
      </c>
      <c r="C130" s="195">
        <f>B130</f>
        <v>52</v>
      </c>
      <c r="D130" s="195">
        <f>C130</f>
        <v>52</v>
      </c>
      <c r="E130" s="195">
        <f>D130</f>
        <v>52</v>
      </c>
    </row>
    <row r="132" spans="1:10" x14ac:dyDescent="0.15">
      <c r="A132" s="9" t="s">
        <v>715</v>
      </c>
      <c r="B132" s="164">
        <v>0.08</v>
      </c>
    </row>
    <row r="133" spans="1:10" x14ac:dyDescent="0.15">
      <c r="A133" s="9" t="s">
        <v>716</v>
      </c>
      <c r="B133" s="15">
        <f>SUMPRODUCT(B130:E130,POWER(1+B132,-B129:E129))</f>
        <v>172.23059568230528</v>
      </c>
    </row>
    <row r="135" spans="1:10" x14ac:dyDescent="0.15">
      <c r="A135" s="9" t="s">
        <v>717</v>
      </c>
      <c r="B135" s="9">
        <v>165</v>
      </c>
    </row>
    <row r="136" spans="1:10" x14ac:dyDescent="0.15">
      <c r="A136" s="28" t="s">
        <v>718</v>
      </c>
    </row>
    <row r="137" spans="1:10" x14ac:dyDescent="0.15">
      <c r="A137" s="9" t="s">
        <v>1075</v>
      </c>
      <c r="B137" s="16">
        <f>B133-B135</f>
        <v>7.2305956823052782</v>
      </c>
    </row>
    <row r="139" spans="1:10" ht="15" x14ac:dyDescent="0.15">
      <c r="A139" s="12" t="s">
        <v>719</v>
      </c>
      <c r="B139" s="164">
        <v>9.9532807563535428E-2</v>
      </c>
    </row>
    <row r="140" spans="1:10" x14ac:dyDescent="0.15">
      <c r="B140" s="16">
        <f>SUMPRODUCT(B130:E130,POWER(1+B139,-B129:E129))</f>
        <v>164.99984210023899</v>
      </c>
    </row>
    <row r="142" spans="1:10" x14ac:dyDescent="0.15">
      <c r="A142" s="32" t="s">
        <v>1048</v>
      </c>
    </row>
    <row r="143" spans="1:10" x14ac:dyDescent="0.15">
      <c r="A143" s="9" t="s">
        <v>1012</v>
      </c>
      <c r="B143" s="104">
        <v>0.08</v>
      </c>
      <c r="C143" s="104">
        <v>0.15</v>
      </c>
    </row>
    <row r="144" spans="1:10" x14ac:dyDescent="0.15">
      <c r="A144" s="9" t="s">
        <v>1047</v>
      </c>
      <c r="B144" s="9">
        <v>100</v>
      </c>
      <c r="C144" s="9">
        <v>100</v>
      </c>
    </row>
    <row r="145" spans="1:3" x14ac:dyDescent="0.15">
      <c r="A145" s="9" t="s">
        <v>720</v>
      </c>
      <c r="B145" s="31">
        <f>B144/B143</f>
        <v>1250</v>
      </c>
      <c r="C145" s="16">
        <f>C144/C143</f>
        <v>666.66666666666674</v>
      </c>
    </row>
    <row r="147" spans="1:3" x14ac:dyDescent="0.15">
      <c r="A147" s="9" t="s">
        <v>638</v>
      </c>
      <c r="B147" s="9">
        <v>40</v>
      </c>
      <c r="C147" s="9">
        <v>40</v>
      </c>
    </row>
    <row r="148" spans="1:3" x14ac:dyDescent="0.15">
      <c r="A148" s="9" t="s">
        <v>721</v>
      </c>
      <c r="B148" s="16">
        <f>B144*(1-POWER(1+B143,-B147))/B143</f>
        <v>1192.4613333746324</v>
      </c>
      <c r="C148" s="16">
        <f>C144*(1-POWER(1+C143,-C147))/C143</f>
        <v>664.17783727559106</v>
      </c>
    </row>
    <row r="149" spans="1:3" x14ac:dyDescent="0.15">
      <c r="B149" s="16"/>
      <c r="C149" s="16"/>
    </row>
    <row r="150" spans="1:3" x14ac:dyDescent="0.15">
      <c r="A150" s="9" t="s">
        <v>722</v>
      </c>
      <c r="B150" s="104">
        <f>B145/B148-1</f>
        <v>4.825201875731655E-2</v>
      </c>
      <c r="C150" s="164">
        <f>C145/C148-1</f>
        <v>3.7472334236334781E-3</v>
      </c>
    </row>
    <row r="152" spans="1:3" x14ac:dyDescent="0.15">
      <c r="A152" s="32" t="s">
        <v>1049</v>
      </c>
    </row>
    <row r="153" spans="1:3" x14ac:dyDescent="0.15">
      <c r="A153" s="9" t="s">
        <v>723</v>
      </c>
      <c r="B153" s="43">
        <v>2000</v>
      </c>
    </row>
    <row r="154" spans="1:3" x14ac:dyDescent="0.15">
      <c r="A154" s="9" t="s">
        <v>366</v>
      </c>
      <c r="B154" s="104">
        <v>0.02</v>
      </c>
    </row>
    <row r="155" spans="1:3" x14ac:dyDescent="0.15">
      <c r="A155" s="9" t="s">
        <v>1013</v>
      </c>
      <c r="B155" s="9">
        <v>75</v>
      </c>
    </row>
    <row r="156" spans="1:3" x14ac:dyDescent="0.15">
      <c r="A156" s="9" t="s">
        <v>724</v>
      </c>
      <c r="B156" s="104">
        <v>0.05</v>
      </c>
    </row>
    <row r="158" spans="1:3" ht="15" x14ac:dyDescent="0.15">
      <c r="A158" s="12" t="s">
        <v>725</v>
      </c>
      <c r="B158" s="43">
        <f>B153/(B156-B154)*(1-POWER((1+B154)/(1+B156),B155))</f>
        <v>59085.706881400954</v>
      </c>
    </row>
    <row r="160" spans="1:3" x14ac:dyDescent="0.15">
      <c r="A160" s="32" t="s">
        <v>1050</v>
      </c>
    </row>
    <row r="161" spans="1:2" x14ac:dyDescent="0.15">
      <c r="A161" s="9" t="s">
        <v>726</v>
      </c>
      <c r="B161" s="9">
        <v>0.8</v>
      </c>
    </row>
    <row r="162" spans="1:2" x14ac:dyDescent="0.15">
      <c r="A162" s="9" t="s">
        <v>1012</v>
      </c>
      <c r="B162" s="164">
        <v>0.06</v>
      </c>
    </row>
    <row r="163" spans="1:2" x14ac:dyDescent="0.15">
      <c r="A163" s="9" t="s">
        <v>727</v>
      </c>
      <c r="B163" s="164">
        <f>(1+B162)*(1+B162)-1</f>
        <v>0.12360000000000015</v>
      </c>
    </row>
    <row r="164" spans="1:2" x14ac:dyDescent="0.15">
      <c r="A164" s="9" t="s">
        <v>728</v>
      </c>
      <c r="B164" s="197">
        <v>15</v>
      </c>
    </row>
    <row r="166" spans="1:2" x14ac:dyDescent="0.15">
      <c r="A166" s="9" t="s">
        <v>730</v>
      </c>
      <c r="B166" s="16">
        <f>B161/B163*(1-POWER(1+B163,-B164))</f>
        <v>5.3455654957240437</v>
      </c>
    </row>
    <row r="167" spans="1:2" x14ac:dyDescent="0.15">
      <c r="A167" s="9" t="s">
        <v>729</v>
      </c>
      <c r="B167" s="16">
        <f>B161/B163</f>
        <v>6.4724919093851057</v>
      </c>
    </row>
    <row r="169" spans="1:2" x14ac:dyDescent="0.15">
      <c r="A169" s="32" t="s">
        <v>1051</v>
      </c>
    </row>
    <row r="170" spans="1:2" x14ac:dyDescent="0.15">
      <c r="A170" s="9" t="s">
        <v>731</v>
      </c>
      <c r="B170" s="43">
        <v>12000</v>
      </c>
    </row>
    <row r="171" spans="1:2" x14ac:dyDescent="0.15">
      <c r="A171" s="9" t="s">
        <v>366</v>
      </c>
      <c r="B171" s="104">
        <v>0.03</v>
      </c>
    </row>
    <row r="172" spans="1:2" x14ac:dyDescent="0.15">
      <c r="A172" s="9" t="s">
        <v>1012</v>
      </c>
      <c r="B172" s="104">
        <v>7.0000000000000007E-2</v>
      </c>
    </row>
    <row r="174" spans="1:2" x14ac:dyDescent="0.15">
      <c r="A174" s="9" t="s">
        <v>732</v>
      </c>
      <c r="B174" s="43">
        <f>B170/(B172-B171)</f>
        <v>299999.99999999994</v>
      </c>
    </row>
    <row r="176" spans="1:2" x14ac:dyDescent="0.15">
      <c r="A176" s="32" t="s">
        <v>1052</v>
      </c>
    </row>
    <row r="177" spans="1:2" x14ac:dyDescent="0.15">
      <c r="A177" s="9" t="s">
        <v>710</v>
      </c>
      <c r="B177" s="43">
        <v>50000</v>
      </c>
    </row>
    <row r="178" spans="1:2" x14ac:dyDescent="0.15">
      <c r="A178" s="9" t="s">
        <v>366</v>
      </c>
      <c r="B178" s="104">
        <v>0.04</v>
      </c>
    </row>
    <row r="180" spans="1:2" x14ac:dyDescent="0.15">
      <c r="A180" s="9" t="s">
        <v>733</v>
      </c>
      <c r="B180" s="9">
        <v>2</v>
      </c>
    </row>
    <row r="181" spans="1:2" x14ac:dyDescent="0.15">
      <c r="A181" s="9" t="s">
        <v>734</v>
      </c>
      <c r="B181" s="43">
        <v>65000</v>
      </c>
    </row>
    <row r="182" spans="1:2" x14ac:dyDescent="0.15">
      <c r="A182" s="9" t="s">
        <v>366</v>
      </c>
      <c r="B182" s="104">
        <v>0.05</v>
      </c>
    </row>
    <row r="183" spans="1:2" x14ac:dyDescent="0.15">
      <c r="A183" s="9" t="s">
        <v>735</v>
      </c>
      <c r="B183" s="43">
        <v>50000</v>
      </c>
    </row>
    <row r="185" spans="1:2" x14ac:dyDescent="0.15">
      <c r="A185" s="9" t="s">
        <v>736</v>
      </c>
      <c r="B185" s="9">
        <v>40</v>
      </c>
    </row>
    <row r="186" spans="1:2" x14ac:dyDescent="0.15">
      <c r="A186" s="9" t="s">
        <v>1028</v>
      </c>
      <c r="B186" s="104">
        <v>0.04</v>
      </c>
    </row>
    <row r="188" spans="1:2" x14ac:dyDescent="0.15">
      <c r="A188" s="9" t="s">
        <v>737</v>
      </c>
      <c r="B188" s="43">
        <f>B177*B185/(1+B186)</f>
        <v>1923076.923076923</v>
      </c>
    </row>
    <row r="189" spans="1:2" x14ac:dyDescent="0.15">
      <c r="A189" s="9" t="s">
        <v>738</v>
      </c>
      <c r="B189" s="43">
        <f>B181/(B186-B182)*(1-POWER((1+B182)/(1+B186),B185-B180))/POWER(1+B186,B180)-B183</f>
        <v>2585546.8841929249</v>
      </c>
    </row>
    <row r="190" spans="1:2" x14ac:dyDescent="0.15">
      <c r="A190" s="9" t="s">
        <v>739</v>
      </c>
      <c r="B190" s="43">
        <f>B189-B188</f>
        <v>662469.96111600194</v>
      </c>
    </row>
    <row r="192" spans="1:2" x14ac:dyDescent="0.15">
      <c r="A192" s="32" t="s">
        <v>1334</v>
      </c>
    </row>
    <row r="193" spans="1:52" x14ac:dyDescent="0.15">
      <c r="A193" s="9" t="s">
        <v>1325</v>
      </c>
      <c r="B193" s="9">
        <v>1200</v>
      </c>
    </row>
    <row r="194" spans="1:52" x14ac:dyDescent="0.15">
      <c r="A194" s="9" t="s">
        <v>794</v>
      </c>
      <c r="B194" s="9">
        <v>40</v>
      </c>
    </row>
    <row r="195" spans="1:52" x14ac:dyDescent="0.15">
      <c r="A195" s="9" t="s">
        <v>793</v>
      </c>
      <c r="B195" s="104">
        <v>0.04</v>
      </c>
    </row>
    <row r="196" spans="1:52" x14ac:dyDescent="0.15">
      <c r="B196" s="104"/>
    </row>
    <row r="197" spans="1:52" x14ac:dyDescent="0.15">
      <c r="A197" s="9" t="s">
        <v>1326</v>
      </c>
      <c r="B197" s="199">
        <v>25</v>
      </c>
      <c r="C197" s="9">
        <f>B197+1</f>
        <v>26</v>
      </c>
      <c r="D197" s="9">
        <f t="shared" ref="D197:AP197" si="4">C197+1</f>
        <v>27</v>
      </c>
      <c r="E197" s="9">
        <f t="shared" si="4"/>
        <v>28</v>
      </c>
      <c r="F197" s="9">
        <f t="shared" si="4"/>
        <v>29</v>
      </c>
      <c r="G197" s="9">
        <f t="shared" si="4"/>
        <v>30</v>
      </c>
      <c r="H197" s="9">
        <f t="shared" si="4"/>
        <v>31</v>
      </c>
      <c r="I197" s="9">
        <f t="shared" si="4"/>
        <v>32</v>
      </c>
      <c r="J197" s="9">
        <f t="shared" si="4"/>
        <v>33</v>
      </c>
      <c r="K197" s="9">
        <f t="shared" si="4"/>
        <v>34</v>
      </c>
      <c r="L197" s="9">
        <f t="shared" si="4"/>
        <v>35</v>
      </c>
      <c r="M197" s="9">
        <f t="shared" si="4"/>
        <v>36</v>
      </c>
      <c r="N197" s="9">
        <f t="shared" si="4"/>
        <v>37</v>
      </c>
      <c r="O197" s="9">
        <f t="shared" si="4"/>
        <v>38</v>
      </c>
      <c r="P197" s="9">
        <f t="shared" si="4"/>
        <v>39</v>
      </c>
      <c r="Q197" s="9">
        <f t="shared" si="4"/>
        <v>40</v>
      </c>
      <c r="R197" s="9">
        <f t="shared" si="4"/>
        <v>41</v>
      </c>
      <c r="S197" s="9">
        <f t="shared" si="4"/>
        <v>42</v>
      </c>
      <c r="T197" s="9">
        <f t="shared" si="4"/>
        <v>43</v>
      </c>
      <c r="U197" s="9">
        <f t="shared" si="4"/>
        <v>44</v>
      </c>
      <c r="V197" s="9">
        <f t="shared" si="4"/>
        <v>45</v>
      </c>
      <c r="W197" s="9">
        <f t="shared" si="4"/>
        <v>46</v>
      </c>
      <c r="X197" s="9">
        <f t="shared" si="4"/>
        <v>47</v>
      </c>
      <c r="Y197" s="9">
        <f t="shared" si="4"/>
        <v>48</v>
      </c>
      <c r="Z197" s="9">
        <f t="shared" si="4"/>
        <v>49</v>
      </c>
      <c r="AA197" s="9">
        <f t="shared" si="4"/>
        <v>50</v>
      </c>
      <c r="AB197" s="9">
        <f t="shared" si="4"/>
        <v>51</v>
      </c>
      <c r="AC197" s="9">
        <f t="shared" si="4"/>
        <v>52</v>
      </c>
      <c r="AD197" s="9">
        <f t="shared" si="4"/>
        <v>53</v>
      </c>
      <c r="AE197" s="9">
        <f t="shared" si="4"/>
        <v>54</v>
      </c>
      <c r="AF197" s="9">
        <f t="shared" si="4"/>
        <v>55</v>
      </c>
      <c r="AG197" s="9">
        <f t="shared" si="4"/>
        <v>56</v>
      </c>
      <c r="AH197" s="9">
        <f t="shared" si="4"/>
        <v>57</v>
      </c>
      <c r="AI197" s="9">
        <f t="shared" si="4"/>
        <v>58</v>
      </c>
      <c r="AJ197" s="9">
        <f t="shared" si="4"/>
        <v>59</v>
      </c>
      <c r="AK197" s="9">
        <f t="shared" si="4"/>
        <v>60</v>
      </c>
      <c r="AL197" s="9">
        <f t="shared" si="4"/>
        <v>61</v>
      </c>
      <c r="AM197" s="9">
        <f t="shared" si="4"/>
        <v>62</v>
      </c>
      <c r="AN197" s="9">
        <f t="shared" si="4"/>
        <v>63</v>
      </c>
      <c r="AO197" s="9">
        <f t="shared" si="4"/>
        <v>64</v>
      </c>
      <c r="AP197" s="9">
        <f t="shared" si="4"/>
        <v>65</v>
      </c>
    </row>
    <row r="198" spans="1:52" x14ac:dyDescent="0.15">
      <c r="A198" s="9" t="s">
        <v>1327</v>
      </c>
      <c r="B198" s="200">
        <f>B194</f>
        <v>40</v>
      </c>
      <c r="C198" s="9">
        <f>B198-1</f>
        <v>39</v>
      </c>
      <c r="D198" s="9">
        <f t="shared" ref="D198:AP198" si="5">C198-1</f>
        <v>38</v>
      </c>
      <c r="E198" s="9">
        <f t="shared" si="5"/>
        <v>37</v>
      </c>
      <c r="F198" s="9">
        <f t="shared" si="5"/>
        <v>36</v>
      </c>
      <c r="G198" s="9">
        <f t="shared" si="5"/>
        <v>35</v>
      </c>
      <c r="H198" s="9">
        <f t="shared" si="5"/>
        <v>34</v>
      </c>
      <c r="I198" s="9">
        <f t="shared" si="5"/>
        <v>33</v>
      </c>
      <c r="J198" s="9">
        <f t="shared" si="5"/>
        <v>32</v>
      </c>
      <c r="K198" s="9">
        <f t="shared" si="5"/>
        <v>31</v>
      </c>
      <c r="L198" s="9">
        <f t="shared" si="5"/>
        <v>30</v>
      </c>
      <c r="M198" s="9">
        <f t="shared" si="5"/>
        <v>29</v>
      </c>
      <c r="N198" s="9">
        <f t="shared" si="5"/>
        <v>28</v>
      </c>
      <c r="O198" s="9">
        <f t="shared" si="5"/>
        <v>27</v>
      </c>
      <c r="P198" s="9">
        <f t="shared" si="5"/>
        <v>26</v>
      </c>
      <c r="Q198" s="9">
        <f t="shared" si="5"/>
        <v>25</v>
      </c>
      <c r="R198" s="9">
        <f t="shared" si="5"/>
        <v>24</v>
      </c>
      <c r="S198" s="9">
        <f t="shared" si="5"/>
        <v>23</v>
      </c>
      <c r="T198" s="9">
        <f t="shared" si="5"/>
        <v>22</v>
      </c>
      <c r="U198" s="9">
        <f t="shared" si="5"/>
        <v>21</v>
      </c>
      <c r="V198" s="9">
        <f t="shared" si="5"/>
        <v>20</v>
      </c>
      <c r="W198" s="9">
        <f t="shared" si="5"/>
        <v>19</v>
      </c>
      <c r="X198" s="9">
        <f t="shared" si="5"/>
        <v>18</v>
      </c>
      <c r="Y198" s="9">
        <f t="shared" si="5"/>
        <v>17</v>
      </c>
      <c r="Z198" s="9">
        <f t="shared" si="5"/>
        <v>16</v>
      </c>
      <c r="AA198" s="9">
        <f t="shared" si="5"/>
        <v>15</v>
      </c>
      <c r="AB198" s="9">
        <f t="shared" si="5"/>
        <v>14</v>
      </c>
      <c r="AC198" s="9">
        <f t="shared" si="5"/>
        <v>13</v>
      </c>
      <c r="AD198" s="9">
        <f t="shared" si="5"/>
        <v>12</v>
      </c>
      <c r="AE198" s="9">
        <f t="shared" si="5"/>
        <v>11</v>
      </c>
      <c r="AF198" s="9">
        <f t="shared" si="5"/>
        <v>10</v>
      </c>
      <c r="AG198" s="9">
        <f t="shared" si="5"/>
        <v>9</v>
      </c>
      <c r="AH198" s="9">
        <f t="shared" si="5"/>
        <v>8</v>
      </c>
      <c r="AI198" s="9">
        <f t="shared" si="5"/>
        <v>7</v>
      </c>
      <c r="AJ198" s="9">
        <f t="shared" si="5"/>
        <v>6</v>
      </c>
      <c r="AK198" s="9">
        <f t="shared" si="5"/>
        <v>5</v>
      </c>
      <c r="AL198" s="9">
        <f t="shared" si="5"/>
        <v>4</v>
      </c>
      <c r="AM198" s="9">
        <f t="shared" si="5"/>
        <v>3</v>
      </c>
      <c r="AN198" s="9">
        <f t="shared" si="5"/>
        <v>2</v>
      </c>
      <c r="AO198" s="9">
        <f t="shared" si="5"/>
        <v>1</v>
      </c>
      <c r="AP198" s="9">
        <f t="shared" si="5"/>
        <v>0</v>
      </c>
    </row>
    <row r="199" spans="1:52" x14ac:dyDescent="0.15">
      <c r="A199" s="9" t="s">
        <v>1328</v>
      </c>
      <c r="B199" s="31">
        <f>$B193*(1+$B195)^B198</f>
        <v>5761.2247535239912</v>
      </c>
      <c r="C199" s="31">
        <f>$B193*(1+$B195)^C198</f>
        <v>5539.6391860807589</v>
      </c>
      <c r="D199" s="31">
        <f t="shared" ref="D199:AP199" si="6">$B193*(1+$B195)^D198</f>
        <v>5326.576140462269</v>
      </c>
      <c r="E199" s="31">
        <f t="shared" si="6"/>
        <v>5121.707827367567</v>
      </c>
      <c r="F199" s="31">
        <f t="shared" si="6"/>
        <v>4924.7190647765055</v>
      </c>
      <c r="G199" s="31">
        <f t="shared" si="6"/>
        <v>4735.306793054332</v>
      </c>
      <c r="H199" s="31">
        <f t="shared" si="6"/>
        <v>4553.1796087060884</v>
      </c>
      <c r="I199" s="31">
        <f t="shared" si="6"/>
        <v>4378.0573160635458</v>
      </c>
      <c r="J199" s="31">
        <f t="shared" si="6"/>
        <v>4209.6704962149479</v>
      </c>
      <c r="K199" s="31">
        <f t="shared" si="6"/>
        <v>4047.7600925143729</v>
      </c>
      <c r="L199" s="31">
        <f t="shared" si="6"/>
        <v>3892.0770120330508</v>
      </c>
      <c r="M199" s="31">
        <f t="shared" si="6"/>
        <v>3742.3817423394721</v>
      </c>
      <c r="N199" s="31">
        <f t="shared" si="6"/>
        <v>3598.4439830187234</v>
      </c>
      <c r="O199" s="31">
        <f t="shared" si="6"/>
        <v>3460.0422913641564</v>
      </c>
      <c r="P199" s="31">
        <f t="shared" si="6"/>
        <v>3326.9637416963042</v>
      </c>
      <c r="Q199" s="31">
        <f t="shared" si="6"/>
        <v>3199.0035977849079</v>
      </c>
      <c r="R199" s="31">
        <f t="shared" si="6"/>
        <v>3075.9649978701032</v>
      </c>
      <c r="S199" s="31">
        <f t="shared" si="6"/>
        <v>2957.6586517981759</v>
      </c>
      <c r="T199" s="31">
        <f t="shared" si="6"/>
        <v>2843.9025498059386</v>
      </c>
      <c r="U199" s="31">
        <f t="shared" si="6"/>
        <v>2734.5216825057105</v>
      </c>
      <c r="V199" s="31">
        <f t="shared" si="6"/>
        <v>2629.3477716401053</v>
      </c>
      <c r="W199" s="31">
        <f t="shared" si="6"/>
        <v>2528.2190111924092</v>
      </c>
      <c r="X199" s="31">
        <f t="shared" si="6"/>
        <v>2430.9798184542396</v>
      </c>
      <c r="Y199" s="31">
        <f t="shared" si="6"/>
        <v>2337.4805946675378</v>
      </c>
      <c r="Z199" s="31">
        <f t="shared" si="6"/>
        <v>2247.5774948726325</v>
      </c>
      <c r="AA199" s="31">
        <f t="shared" si="6"/>
        <v>2161.1322066083003</v>
      </c>
      <c r="AB199" s="31">
        <f t="shared" si="6"/>
        <v>2078.0117371233655</v>
      </c>
      <c r="AC199" s="31">
        <f t="shared" si="6"/>
        <v>1998.0882087724669</v>
      </c>
      <c r="AD199" s="31">
        <f t="shared" si="6"/>
        <v>1921.238662281218</v>
      </c>
      <c r="AE199" s="31">
        <f t="shared" si="6"/>
        <v>1847.344867578094</v>
      </c>
      <c r="AF199" s="31">
        <f t="shared" si="6"/>
        <v>1776.2931419020135</v>
      </c>
      <c r="AG199" s="31">
        <f t="shared" si="6"/>
        <v>1707.9741749057823</v>
      </c>
      <c r="AH199" s="31">
        <f t="shared" si="6"/>
        <v>1642.2828604863289</v>
      </c>
      <c r="AI199" s="31">
        <f t="shared" si="6"/>
        <v>1579.1181350830084</v>
      </c>
      <c r="AJ199" s="31">
        <f t="shared" si="6"/>
        <v>1518.3828221952003</v>
      </c>
      <c r="AK199" s="31">
        <f t="shared" si="6"/>
        <v>1459.9834828800003</v>
      </c>
      <c r="AL199" s="31">
        <f t="shared" si="6"/>
        <v>1403.8302720000002</v>
      </c>
      <c r="AM199" s="31">
        <f t="shared" si="6"/>
        <v>1349.8368</v>
      </c>
      <c r="AN199" s="31">
        <f t="shared" si="6"/>
        <v>1297.92</v>
      </c>
      <c r="AO199" s="31">
        <f t="shared" si="6"/>
        <v>1248</v>
      </c>
      <c r="AP199" s="31">
        <f t="shared" si="6"/>
        <v>1200</v>
      </c>
      <c r="AQ199" s="31"/>
      <c r="AR199" s="31"/>
      <c r="AS199" s="31"/>
      <c r="AT199" s="31"/>
      <c r="AU199" s="31"/>
      <c r="AV199" s="31"/>
      <c r="AW199" s="31"/>
      <c r="AX199" s="31"/>
      <c r="AY199" s="31"/>
      <c r="AZ199" s="31"/>
    </row>
    <row r="200" spans="1:52" x14ac:dyDescent="0.15">
      <c r="A200" s="9" t="s">
        <v>1329</v>
      </c>
      <c r="B200" s="31">
        <f>B199</f>
        <v>5761.2247535239912</v>
      </c>
      <c r="C200" s="31">
        <f>B200+C199</f>
        <v>11300.863939604751</v>
      </c>
      <c r="D200" s="31">
        <f t="shared" ref="D200:AP200" si="7">C200+D199</f>
        <v>16627.440080067019</v>
      </c>
      <c r="E200" s="31">
        <f t="shared" si="7"/>
        <v>21749.147907434584</v>
      </c>
      <c r="F200" s="31">
        <f t="shared" si="7"/>
        <v>26673.86697221109</v>
      </c>
      <c r="G200" s="31">
        <f t="shared" si="7"/>
        <v>31409.173765265423</v>
      </c>
      <c r="H200" s="31">
        <f t="shared" si="7"/>
        <v>35962.353373971513</v>
      </c>
      <c r="I200" s="31">
        <f t="shared" si="7"/>
        <v>40340.41069003506</v>
      </c>
      <c r="J200" s="31">
        <f t="shared" si="7"/>
        <v>44550.081186250005</v>
      </c>
      <c r="K200" s="31">
        <f t="shared" si="7"/>
        <v>48597.841278764376</v>
      </c>
      <c r="L200" s="31">
        <f t="shared" si="7"/>
        <v>52489.918290797425</v>
      </c>
      <c r="M200" s="31">
        <f t="shared" si="7"/>
        <v>56232.300033136897</v>
      </c>
      <c r="N200" s="31">
        <f t="shared" si="7"/>
        <v>59830.744016155622</v>
      </c>
      <c r="O200" s="31">
        <f t="shared" si="7"/>
        <v>63290.786307519782</v>
      </c>
      <c r="P200" s="31">
        <f t="shared" si="7"/>
        <v>66617.750049216091</v>
      </c>
      <c r="Q200" s="31">
        <f t="shared" si="7"/>
        <v>69816.753647000995</v>
      </c>
      <c r="R200" s="31">
        <f t="shared" si="7"/>
        <v>72892.7186448711</v>
      </c>
      <c r="S200" s="31">
        <f t="shared" si="7"/>
        <v>75850.377296669278</v>
      </c>
      <c r="T200" s="31">
        <f t="shared" si="7"/>
        <v>78694.279846475212</v>
      </c>
      <c r="U200" s="31">
        <f t="shared" si="7"/>
        <v>81428.801528980926</v>
      </c>
      <c r="V200" s="31">
        <f t="shared" si="7"/>
        <v>84058.149300621037</v>
      </c>
      <c r="W200" s="31">
        <f t="shared" si="7"/>
        <v>86586.36831181345</v>
      </c>
      <c r="X200" s="31">
        <f t="shared" si="7"/>
        <v>89017.348130267696</v>
      </c>
      <c r="Y200" s="31">
        <f t="shared" si="7"/>
        <v>91354.828724935229</v>
      </c>
      <c r="Z200" s="31">
        <f t="shared" si="7"/>
        <v>93602.406219807861</v>
      </c>
      <c r="AA200" s="31">
        <f t="shared" si="7"/>
        <v>95763.538426416155</v>
      </c>
      <c r="AB200" s="31">
        <f t="shared" si="7"/>
        <v>97841.550163539519</v>
      </c>
      <c r="AC200" s="31">
        <f t="shared" si="7"/>
        <v>99839.63837231198</v>
      </c>
      <c r="AD200" s="31">
        <f t="shared" si="7"/>
        <v>101760.8770345932</v>
      </c>
      <c r="AE200" s="31">
        <f t="shared" si="7"/>
        <v>103608.2219021713</v>
      </c>
      <c r="AF200" s="31">
        <f t="shared" si="7"/>
        <v>105384.51504407331</v>
      </c>
      <c r="AG200" s="31">
        <f t="shared" si="7"/>
        <v>107092.4892189791</v>
      </c>
      <c r="AH200" s="31">
        <f t="shared" si="7"/>
        <v>108734.77207946543</v>
      </c>
      <c r="AI200" s="31">
        <f t="shared" si="7"/>
        <v>110313.89021454845</v>
      </c>
      <c r="AJ200" s="31">
        <f t="shared" si="7"/>
        <v>111832.27303674365</v>
      </c>
      <c r="AK200" s="31">
        <f t="shared" si="7"/>
        <v>113292.25651962364</v>
      </c>
      <c r="AL200" s="31">
        <f t="shared" si="7"/>
        <v>114696.08679162365</v>
      </c>
      <c r="AM200" s="31">
        <f t="shared" si="7"/>
        <v>116045.92359162365</v>
      </c>
      <c r="AN200" s="31">
        <f t="shared" si="7"/>
        <v>117343.84359162365</v>
      </c>
      <c r="AO200" s="31">
        <f t="shared" si="7"/>
        <v>118591.84359162365</v>
      </c>
      <c r="AP200" s="31">
        <f t="shared" si="7"/>
        <v>119791.84359162365</v>
      </c>
      <c r="AQ200" s="31"/>
      <c r="AR200" s="31"/>
      <c r="AS200" s="31"/>
      <c r="AT200" s="31"/>
      <c r="AU200" s="31"/>
      <c r="AV200" s="31"/>
      <c r="AW200" s="31"/>
      <c r="AX200" s="31"/>
      <c r="AY200" s="31"/>
      <c r="AZ200" s="31"/>
    </row>
    <row r="201" spans="1:52" x14ac:dyDescent="0.15">
      <c r="B201" s="104"/>
    </row>
    <row r="203" spans="1:52" x14ac:dyDescent="0.15">
      <c r="A203" s="9" t="s">
        <v>1330</v>
      </c>
      <c r="B203" s="201">
        <f>AP200</f>
        <v>119791.84359162365</v>
      </c>
    </row>
    <row r="206" spans="1:52" x14ac:dyDescent="0.15">
      <c r="A206" s="9" t="s">
        <v>1331</v>
      </c>
      <c r="B206" s="201">
        <v>200000</v>
      </c>
      <c r="C206" s="9" t="s">
        <v>1332</v>
      </c>
      <c r="F206" s="201">
        <f>B206/B203*B193</f>
        <v>2003.4753018592146</v>
      </c>
      <c r="G206" s="9" t="s">
        <v>1333</v>
      </c>
    </row>
    <row r="208" spans="1:52" x14ac:dyDescent="0.15">
      <c r="A208" s="9" t="s">
        <v>1325</v>
      </c>
      <c r="B208" s="9">
        <v>1200</v>
      </c>
    </row>
    <row r="209" spans="1:48" x14ac:dyDescent="0.15">
      <c r="A209" s="9" t="s">
        <v>794</v>
      </c>
      <c r="B209" s="9">
        <v>40</v>
      </c>
    </row>
    <row r="210" spans="1:48" x14ac:dyDescent="0.15">
      <c r="A210" s="9" t="s">
        <v>793</v>
      </c>
      <c r="B210" s="162">
        <v>6.03765E-2</v>
      </c>
    </row>
    <row r="211" spans="1:48" x14ac:dyDescent="0.15">
      <c r="B211" s="104"/>
    </row>
    <row r="212" spans="1:48" x14ac:dyDescent="0.15">
      <c r="A212" s="9" t="s">
        <v>1326</v>
      </c>
      <c r="B212" s="199">
        <v>25</v>
      </c>
      <c r="C212" s="9">
        <f>B212+1</f>
        <v>26</v>
      </c>
      <c r="D212" s="9">
        <f t="shared" ref="D212:AP212" si="8">C212+1</f>
        <v>27</v>
      </c>
      <c r="E212" s="9">
        <f t="shared" si="8"/>
        <v>28</v>
      </c>
      <c r="F212" s="9">
        <f t="shared" si="8"/>
        <v>29</v>
      </c>
      <c r="G212" s="9">
        <f t="shared" si="8"/>
        <v>30</v>
      </c>
      <c r="H212" s="9">
        <f t="shared" si="8"/>
        <v>31</v>
      </c>
      <c r="I212" s="9">
        <f t="shared" si="8"/>
        <v>32</v>
      </c>
      <c r="J212" s="9">
        <f t="shared" si="8"/>
        <v>33</v>
      </c>
      <c r="K212" s="9">
        <f t="shared" si="8"/>
        <v>34</v>
      </c>
      <c r="L212" s="9">
        <f t="shared" si="8"/>
        <v>35</v>
      </c>
      <c r="M212" s="9">
        <f t="shared" si="8"/>
        <v>36</v>
      </c>
      <c r="N212" s="9">
        <f t="shared" si="8"/>
        <v>37</v>
      </c>
      <c r="O212" s="9">
        <f t="shared" si="8"/>
        <v>38</v>
      </c>
      <c r="P212" s="9">
        <f t="shared" si="8"/>
        <v>39</v>
      </c>
      <c r="Q212" s="9">
        <f t="shared" si="8"/>
        <v>40</v>
      </c>
      <c r="R212" s="9">
        <f t="shared" si="8"/>
        <v>41</v>
      </c>
      <c r="S212" s="9">
        <f t="shared" si="8"/>
        <v>42</v>
      </c>
      <c r="T212" s="9">
        <f t="shared" si="8"/>
        <v>43</v>
      </c>
      <c r="U212" s="9">
        <f t="shared" si="8"/>
        <v>44</v>
      </c>
      <c r="V212" s="9">
        <f t="shared" si="8"/>
        <v>45</v>
      </c>
      <c r="W212" s="9">
        <f t="shared" si="8"/>
        <v>46</v>
      </c>
      <c r="X212" s="9">
        <f t="shared" si="8"/>
        <v>47</v>
      </c>
      <c r="Y212" s="9">
        <f t="shared" si="8"/>
        <v>48</v>
      </c>
      <c r="Z212" s="9">
        <f t="shared" si="8"/>
        <v>49</v>
      </c>
      <c r="AA212" s="9">
        <f t="shared" si="8"/>
        <v>50</v>
      </c>
      <c r="AB212" s="9">
        <f t="shared" si="8"/>
        <v>51</v>
      </c>
      <c r="AC212" s="9">
        <f t="shared" si="8"/>
        <v>52</v>
      </c>
      <c r="AD212" s="9">
        <f t="shared" si="8"/>
        <v>53</v>
      </c>
      <c r="AE212" s="9">
        <f t="shared" si="8"/>
        <v>54</v>
      </c>
      <c r="AF212" s="9">
        <f t="shared" si="8"/>
        <v>55</v>
      </c>
      <c r="AG212" s="9">
        <f t="shared" si="8"/>
        <v>56</v>
      </c>
      <c r="AH212" s="9">
        <f t="shared" si="8"/>
        <v>57</v>
      </c>
      <c r="AI212" s="9">
        <f t="shared" si="8"/>
        <v>58</v>
      </c>
      <c r="AJ212" s="9">
        <f t="shared" si="8"/>
        <v>59</v>
      </c>
      <c r="AK212" s="9">
        <f t="shared" si="8"/>
        <v>60</v>
      </c>
      <c r="AL212" s="9">
        <f t="shared" si="8"/>
        <v>61</v>
      </c>
      <c r="AM212" s="9">
        <f t="shared" si="8"/>
        <v>62</v>
      </c>
      <c r="AN212" s="9">
        <f t="shared" si="8"/>
        <v>63</v>
      </c>
      <c r="AO212" s="9">
        <f t="shared" si="8"/>
        <v>64</v>
      </c>
      <c r="AP212" s="9">
        <f t="shared" si="8"/>
        <v>65</v>
      </c>
    </row>
    <row r="213" spans="1:48" x14ac:dyDescent="0.15">
      <c r="A213" s="9" t="s">
        <v>1327</v>
      </c>
      <c r="B213" s="200">
        <f>B209</f>
        <v>40</v>
      </c>
      <c r="C213" s="9">
        <f>B213-1</f>
        <v>39</v>
      </c>
      <c r="D213" s="9">
        <f t="shared" ref="D213:AP213" si="9">C213-1</f>
        <v>38</v>
      </c>
      <c r="E213" s="9">
        <f t="shared" si="9"/>
        <v>37</v>
      </c>
      <c r="F213" s="9">
        <f t="shared" si="9"/>
        <v>36</v>
      </c>
      <c r="G213" s="9">
        <f t="shared" si="9"/>
        <v>35</v>
      </c>
      <c r="H213" s="9">
        <f t="shared" si="9"/>
        <v>34</v>
      </c>
      <c r="I213" s="9">
        <f t="shared" si="9"/>
        <v>33</v>
      </c>
      <c r="J213" s="9">
        <f t="shared" si="9"/>
        <v>32</v>
      </c>
      <c r="K213" s="9">
        <f t="shared" si="9"/>
        <v>31</v>
      </c>
      <c r="L213" s="9">
        <f t="shared" si="9"/>
        <v>30</v>
      </c>
      <c r="M213" s="9">
        <f t="shared" si="9"/>
        <v>29</v>
      </c>
      <c r="N213" s="9">
        <f t="shared" si="9"/>
        <v>28</v>
      </c>
      <c r="O213" s="9">
        <f t="shared" si="9"/>
        <v>27</v>
      </c>
      <c r="P213" s="9">
        <f t="shared" si="9"/>
        <v>26</v>
      </c>
      <c r="Q213" s="9">
        <f t="shared" si="9"/>
        <v>25</v>
      </c>
      <c r="R213" s="9">
        <f t="shared" si="9"/>
        <v>24</v>
      </c>
      <c r="S213" s="9">
        <f t="shared" si="9"/>
        <v>23</v>
      </c>
      <c r="T213" s="9">
        <f t="shared" si="9"/>
        <v>22</v>
      </c>
      <c r="U213" s="9">
        <f t="shared" si="9"/>
        <v>21</v>
      </c>
      <c r="V213" s="9">
        <f t="shared" si="9"/>
        <v>20</v>
      </c>
      <c r="W213" s="9">
        <f t="shared" si="9"/>
        <v>19</v>
      </c>
      <c r="X213" s="9">
        <f t="shared" si="9"/>
        <v>18</v>
      </c>
      <c r="Y213" s="9">
        <f t="shared" si="9"/>
        <v>17</v>
      </c>
      <c r="Z213" s="9">
        <f t="shared" si="9"/>
        <v>16</v>
      </c>
      <c r="AA213" s="9">
        <f t="shared" si="9"/>
        <v>15</v>
      </c>
      <c r="AB213" s="9">
        <f t="shared" si="9"/>
        <v>14</v>
      </c>
      <c r="AC213" s="9">
        <f t="shared" si="9"/>
        <v>13</v>
      </c>
      <c r="AD213" s="9">
        <f t="shared" si="9"/>
        <v>12</v>
      </c>
      <c r="AE213" s="9">
        <f t="shared" si="9"/>
        <v>11</v>
      </c>
      <c r="AF213" s="9">
        <f t="shared" si="9"/>
        <v>10</v>
      </c>
      <c r="AG213" s="9">
        <f t="shared" si="9"/>
        <v>9</v>
      </c>
      <c r="AH213" s="9">
        <f t="shared" si="9"/>
        <v>8</v>
      </c>
      <c r="AI213" s="9">
        <f t="shared" si="9"/>
        <v>7</v>
      </c>
      <c r="AJ213" s="9">
        <f t="shared" si="9"/>
        <v>6</v>
      </c>
      <c r="AK213" s="9">
        <f t="shared" si="9"/>
        <v>5</v>
      </c>
      <c r="AL213" s="9">
        <f t="shared" si="9"/>
        <v>4</v>
      </c>
      <c r="AM213" s="9">
        <f t="shared" si="9"/>
        <v>3</v>
      </c>
      <c r="AN213" s="9">
        <f t="shared" si="9"/>
        <v>2</v>
      </c>
      <c r="AO213" s="9">
        <f t="shared" si="9"/>
        <v>1</v>
      </c>
      <c r="AP213" s="9">
        <f t="shared" si="9"/>
        <v>0</v>
      </c>
    </row>
    <row r="214" spans="1:48" x14ac:dyDescent="0.15">
      <c r="A214" s="9" t="s">
        <v>1328</v>
      </c>
      <c r="B214" s="31">
        <f t="shared" ref="B214:AP214" si="10">$B208*(1+$B210)^B213</f>
        <v>12519.443381539419</v>
      </c>
      <c r="C214" s="31">
        <f t="shared" si="10"/>
        <v>11806.602071565541</v>
      </c>
      <c r="D214" s="31">
        <f t="shared" si="10"/>
        <v>11134.349046367528</v>
      </c>
      <c r="E214" s="31">
        <f t="shared" si="10"/>
        <v>10500.373260221751</v>
      </c>
      <c r="F214" s="31">
        <f t="shared" si="10"/>
        <v>9902.4952554321517</v>
      </c>
      <c r="G214" s="31">
        <f t="shared" si="10"/>
        <v>9338.6596698740013</v>
      </c>
      <c r="H214" s="31">
        <f t="shared" si="10"/>
        <v>8806.9281711486437</v>
      </c>
      <c r="I214" s="31">
        <f t="shared" si="10"/>
        <v>8305.472793058545</v>
      </c>
      <c r="J214" s="31">
        <f t="shared" si="10"/>
        <v>7832.5696514950532</v>
      </c>
      <c r="K214" s="31">
        <f t="shared" si="10"/>
        <v>7386.5930181355898</v>
      </c>
      <c r="L214" s="31">
        <f t="shared" si="10"/>
        <v>6966.0097315770272</v>
      </c>
      <c r="M214" s="31">
        <f t="shared" si="10"/>
        <v>6569.3739266921011</v>
      </c>
      <c r="N214" s="31">
        <f t="shared" si="10"/>
        <v>6195.3220640895952</v>
      </c>
      <c r="O214" s="31">
        <f t="shared" si="10"/>
        <v>5842.5682425908108</v>
      </c>
      <c r="P214" s="31">
        <f t="shared" si="10"/>
        <v>5509.8997786077025</v>
      </c>
      <c r="Q214" s="31">
        <f t="shared" si="10"/>
        <v>5196.1730372256479</v>
      </c>
      <c r="R214" s="31">
        <f t="shared" si="10"/>
        <v>4900.3095006591029</v>
      </c>
      <c r="S214" s="31">
        <f t="shared" si="10"/>
        <v>4621.292060564434</v>
      </c>
      <c r="T214" s="31">
        <f t="shared" si="10"/>
        <v>4358.161521463775</v>
      </c>
      <c r="U214" s="31">
        <f t="shared" si="10"/>
        <v>4110.0133032595268</v>
      </c>
      <c r="V214" s="31">
        <f t="shared" si="10"/>
        <v>3875.9943315035048</v>
      </c>
      <c r="W214" s="31">
        <f t="shared" si="10"/>
        <v>3655.3001047302578</v>
      </c>
      <c r="X214" s="31">
        <f t="shared" si="10"/>
        <v>3447.1719287727119</v>
      </c>
      <c r="Y214" s="31">
        <f t="shared" si="10"/>
        <v>3250.8943085523979</v>
      </c>
      <c r="Z214" s="31">
        <f t="shared" si="10"/>
        <v>3065.7924883778524</v>
      </c>
      <c r="AA214" s="31">
        <f t="shared" si="10"/>
        <v>2891.2301322953235</v>
      </c>
      <c r="AB214" s="31">
        <f t="shared" si="10"/>
        <v>2726.6071365173812</v>
      </c>
      <c r="AC214" s="31">
        <f t="shared" si="10"/>
        <v>2571.3575664090831</v>
      </c>
      <c r="AD214" s="31">
        <f t="shared" si="10"/>
        <v>2424.9477109395416</v>
      </c>
      <c r="AE214" s="31">
        <f t="shared" si="10"/>
        <v>2286.874247910569</v>
      </c>
      <c r="AF214" s="31">
        <f t="shared" si="10"/>
        <v>2156.6625136548846</v>
      </c>
      <c r="AG214" s="31">
        <f t="shared" si="10"/>
        <v>2033.8648712555253</v>
      </c>
      <c r="AH214" s="31">
        <f t="shared" si="10"/>
        <v>1918.0591716767819</v>
      </c>
      <c r="AI214" s="31">
        <f t="shared" si="10"/>
        <v>1808.8473025164005</v>
      </c>
      <c r="AJ214" s="31">
        <f t="shared" si="10"/>
        <v>1705.8538193899997</v>
      </c>
      <c r="AK214" s="31">
        <f t="shared" si="10"/>
        <v>1608.7246552427366</v>
      </c>
      <c r="AL214" s="31">
        <f t="shared" si="10"/>
        <v>1517.1259031511322</v>
      </c>
      <c r="AM214" s="31">
        <f t="shared" si="10"/>
        <v>1430.7426684306301</v>
      </c>
      <c r="AN214" s="31">
        <f t="shared" si="10"/>
        <v>1349.2779861027002</v>
      </c>
      <c r="AO214" s="31">
        <f t="shared" si="10"/>
        <v>1272.4518</v>
      </c>
      <c r="AP214" s="31">
        <f t="shared" si="10"/>
        <v>1200</v>
      </c>
      <c r="AQ214" s="31"/>
      <c r="AR214" s="31"/>
      <c r="AS214" s="31"/>
      <c r="AT214" s="31"/>
      <c r="AU214" s="31"/>
      <c r="AV214" s="31"/>
    </row>
    <row r="215" spans="1:48" x14ac:dyDescent="0.15">
      <c r="A215" s="9" t="s">
        <v>1329</v>
      </c>
      <c r="B215" s="31">
        <f>B214</f>
        <v>12519.443381539419</v>
      </c>
      <c r="C215" s="31">
        <f t="shared" ref="C215:AP215" si="11">B215+C214</f>
        <v>24326.045453104962</v>
      </c>
      <c r="D215" s="31">
        <f t="shared" si="11"/>
        <v>35460.394499472488</v>
      </c>
      <c r="E215" s="31">
        <f t="shared" si="11"/>
        <v>45960.767759694238</v>
      </c>
      <c r="F215" s="31">
        <f t="shared" si="11"/>
        <v>55863.263015126387</v>
      </c>
      <c r="G215" s="31">
        <f t="shared" si="11"/>
        <v>65201.922685000391</v>
      </c>
      <c r="H215" s="31">
        <f t="shared" si="11"/>
        <v>74008.850856149031</v>
      </c>
      <c r="I215" s="31">
        <f t="shared" si="11"/>
        <v>82314.323649207581</v>
      </c>
      <c r="J215" s="31">
        <f t="shared" si="11"/>
        <v>90146.893300702635</v>
      </c>
      <c r="K215" s="31">
        <f t="shared" si="11"/>
        <v>97533.48631883823</v>
      </c>
      <c r="L215" s="31">
        <f t="shared" si="11"/>
        <v>104499.49605041526</v>
      </c>
      <c r="M215" s="31">
        <f t="shared" si="11"/>
        <v>111068.86997710736</v>
      </c>
      <c r="N215" s="31">
        <f t="shared" si="11"/>
        <v>117264.19204119695</v>
      </c>
      <c r="O215" s="31">
        <f t="shared" si="11"/>
        <v>123106.76028378776</v>
      </c>
      <c r="P215" s="31">
        <f t="shared" si="11"/>
        <v>128616.66006239547</v>
      </c>
      <c r="Q215" s="31">
        <f t="shared" si="11"/>
        <v>133812.83309962112</v>
      </c>
      <c r="R215" s="31">
        <f t="shared" si="11"/>
        <v>138713.14260028023</v>
      </c>
      <c r="S215" s="31">
        <f t="shared" si="11"/>
        <v>143334.43466084468</v>
      </c>
      <c r="T215" s="31">
        <f t="shared" si="11"/>
        <v>147692.59618230845</v>
      </c>
      <c r="U215" s="31">
        <f t="shared" si="11"/>
        <v>151802.60948556798</v>
      </c>
      <c r="V215" s="31">
        <f t="shared" si="11"/>
        <v>155678.60381707147</v>
      </c>
      <c r="W215" s="31">
        <f t="shared" si="11"/>
        <v>159333.90392180174</v>
      </c>
      <c r="X215" s="31">
        <f t="shared" si="11"/>
        <v>162781.07585057445</v>
      </c>
      <c r="Y215" s="31">
        <f t="shared" si="11"/>
        <v>166031.97015912685</v>
      </c>
      <c r="Z215" s="31">
        <f t="shared" si="11"/>
        <v>169097.76264750471</v>
      </c>
      <c r="AA215" s="31">
        <f t="shared" si="11"/>
        <v>171988.99277980003</v>
      </c>
      <c r="AB215" s="31">
        <f t="shared" si="11"/>
        <v>174715.59991631741</v>
      </c>
      <c r="AC215" s="31">
        <f t="shared" si="11"/>
        <v>177286.95748272649</v>
      </c>
      <c r="AD215" s="31">
        <f t="shared" si="11"/>
        <v>179711.90519366603</v>
      </c>
      <c r="AE215" s="31">
        <f t="shared" si="11"/>
        <v>181998.7794415766</v>
      </c>
      <c r="AF215" s="31">
        <f t="shared" si="11"/>
        <v>184155.44195523148</v>
      </c>
      <c r="AG215" s="31">
        <f t="shared" si="11"/>
        <v>186189.30682648701</v>
      </c>
      <c r="AH215" s="31">
        <f t="shared" si="11"/>
        <v>188107.36599816379</v>
      </c>
      <c r="AI215" s="31">
        <f t="shared" si="11"/>
        <v>189916.21330068019</v>
      </c>
      <c r="AJ215" s="31">
        <f t="shared" si="11"/>
        <v>191622.06712007019</v>
      </c>
      <c r="AK215" s="31">
        <f t="shared" si="11"/>
        <v>193230.79177531291</v>
      </c>
      <c r="AL215" s="31">
        <f t="shared" si="11"/>
        <v>194747.91767846406</v>
      </c>
      <c r="AM215" s="31">
        <f t="shared" si="11"/>
        <v>196178.6603468947</v>
      </c>
      <c r="AN215" s="31">
        <f t="shared" si="11"/>
        <v>197527.93833299741</v>
      </c>
      <c r="AO215" s="31">
        <f t="shared" si="11"/>
        <v>198800.39013299742</v>
      </c>
      <c r="AP215" s="31">
        <f t="shared" si="11"/>
        <v>200000.39013299742</v>
      </c>
      <c r="AQ215" s="31"/>
      <c r="AR215" s="31"/>
      <c r="AS215" s="31"/>
      <c r="AT215" s="31"/>
      <c r="AU215" s="31"/>
      <c r="AV215" s="31"/>
    </row>
    <row r="216" spans="1:48" x14ac:dyDescent="0.15">
      <c r="B216" s="104"/>
    </row>
    <row r="218" spans="1:48" x14ac:dyDescent="0.15">
      <c r="A218" s="9" t="s">
        <v>1330</v>
      </c>
      <c r="B218" s="201">
        <f>AP215</f>
        <v>200000.39013299742</v>
      </c>
    </row>
    <row r="220" spans="1:48" x14ac:dyDescent="0.15">
      <c r="A220" s="32" t="s">
        <v>1335</v>
      </c>
    </row>
    <row r="221" spans="1:48" x14ac:dyDescent="0.15">
      <c r="A221" s="9" t="s">
        <v>1319</v>
      </c>
    </row>
  </sheetData>
  <phoneticPr fontId="4" type="noConversion"/>
  <pageMargins left="0.7" right="0.7" top="0.75" bottom="0.75" header="0.3" footer="0.3"/>
  <pageSetup paperSize="9" scale="22" fitToHeight="0" orientation="portrait"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7">
    <pageSetUpPr fitToPage="1"/>
  </sheetPr>
  <dimension ref="A1:N210"/>
  <sheetViews>
    <sheetView showGridLines="0" topLeftCell="A16" workbookViewId="0">
      <selection activeCell="C20" sqref="C20"/>
    </sheetView>
  </sheetViews>
  <sheetFormatPr baseColWidth="10" defaultColWidth="10.6640625" defaultRowHeight="14" x14ac:dyDescent="0.15"/>
  <cols>
    <col min="1" max="1" width="18.33203125" style="9" customWidth="1"/>
    <col min="2" max="2" width="11.5" style="9" bestFit="1" customWidth="1"/>
    <col min="3" max="5" width="10.6640625" style="9"/>
    <col min="6" max="6" width="13.1640625" style="9" bestFit="1" customWidth="1"/>
    <col min="7" max="16384" width="10.6640625" style="9"/>
  </cols>
  <sheetData>
    <row r="1" spans="1:2" x14ac:dyDescent="0.15">
      <c r="A1" s="32" t="s">
        <v>352</v>
      </c>
    </row>
    <row r="2" spans="1:2" x14ac:dyDescent="0.15">
      <c r="A2" s="9" t="s">
        <v>802</v>
      </c>
      <c r="B2" s="9">
        <v>120</v>
      </c>
    </row>
    <row r="3" spans="1:2" x14ac:dyDescent="0.15">
      <c r="A3" s="9" t="s">
        <v>803</v>
      </c>
      <c r="B3" s="9">
        <v>172.8</v>
      </c>
    </row>
    <row r="4" spans="1:2" x14ac:dyDescent="0.15">
      <c r="A4" s="9" t="s">
        <v>1057</v>
      </c>
      <c r="B4" s="105">
        <f>B3/B2-1</f>
        <v>0.44000000000000017</v>
      </c>
    </row>
    <row r="5" spans="1:2" x14ac:dyDescent="0.15">
      <c r="A5" s="9" t="s">
        <v>1056</v>
      </c>
      <c r="B5" s="104">
        <f>SQRT(B3/B2)-1</f>
        <v>0.20000000000000018</v>
      </c>
    </row>
    <row r="6" spans="1:2" ht="30" x14ac:dyDescent="0.15">
      <c r="A6" s="12" t="s">
        <v>1055</v>
      </c>
      <c r="B6" s="105">
        <f>B5/12*3</f>
        <v>5.0000000000000044E-2</v>
      </c>
    </row>
    <row r="8" spans="1:2" x14ac:dyDescent="0.15">
      <c r="A8" s="32" t="s">
        <v>974</v>
      </c>
    </row>
    <row r="9" spans="1:2" x14ac:dyDescent="0.15">
      <c r="A9" s="9" t="s">
        <v>802</v>
      </c>
      <c r="B9" s="9">
        <v>100</v>
      </c>
    </row>
    <row r="10" spans="1:2" x14ac:dyDescent="0.15">
      <c r="A10" s="9" t="s">
        <v>1056</v>
      </c>
      <c r="B10" s="104">
        <v>0.14000000000000001</v>
      </c>
    </row>
    <row r="11" spans="1:2" x14ac:dyDescent="0.15">
      <c r="A11" s="9" t="s">
        <v>1058</v>
      </c>
      <c r="B11" s="9">
        <v>7</v>
      </c>
    </row>
    <row r="13" spans="1:2" x14ac:dyDescent="0.15">
      <c r="A13" s="9" t="s">
        <v>804</v>
      </c>
      <c r="B13" s="31">
        <f>B9*POWER(1+B10,B11)</f>
        <v>250.22687912870421</v>
      </c>
    </row>
    <row r="15" spans="1:2" x14ac:dyDescent="0.15">
      <c r="A15" s="32" t="s">
        <v>984</v>
      </c>
    </row>
    <row r="16" spans="1:2" x14ac:dyDescent="0.15">
      <c r="A16" s="9" t="s">
        <v>802</v>
      </c>
      <c r="B16" s="9">
        <v>100</v>
      </c>
    </row>
    <row r="17" spans="1:3" x14ac:dyDescent="0.15">
      <c r="A17" s="9" t="s">
        <v>805</v>
      </c>
      <c r="B17" s="9">
        <v>174.9</v>
      </c>
    </row>
    <row r="18" spans="1:3" x14ac:dyDescent="0.15">
      <c r="A18" s="9" t="s">
        <v>1056</v>
      </c>
      <c r="B18" s="104">
        <v>0.15</v>
      </c>
    </row>
    <row r="19" spans="1:3" x14ac:dyDescent="0.15">
      <c r="B19" s="104"/>
    </row>
    <row r="20" spans="1:3" x14ac:dyDescent="0.15">
      <c r="A20" s="9" t="s">
        <v>1058</v>
      </c>
      <c r="B20" s="15">
        <f>LN(B17/B16)/LN(1+B18)</f>
        <v>3.9999744317794335</v>
      </c>
    </row>
    <row r="22" spans="1:3" x14ac:dyDescent="0.15">
      <c r="A22" s="32" t="s">
        <v>470</v>
      </c>
    </row>
    <row r="23" spans="1:3" x14ac:dyDescent="0.15">
      <c r="A23" s="9" t="s">
        <v>802</v>
      </c>
      <c r="B23" s="16">
        <v>1000</v>
      </c>
    </row>
    <row r="24" spans="1:3" x14ac:dyDescent="0.15">
      <c r="A24" s="9" t="s">
        <v>1012</v>
      </c>
      <c r="B24" s="162">
        <v>0.06</v>
      </c>
    </row>
    <row r="25" spans="1:3" x14ac:dyDescent="0.15">
      <c r="A25" s="9" t="s">
        <v>1059</v>
      </c>
      <c r="B25" s="25">
        <v>0.5</v>
      </c>
      <c r="C25" s="9" t="s">
        <v>462</v>
      </c>
    </row>
    <row r="26" spans="1:3" x14ac:dyDescent="0.15">
      <c r="A26" s="9" t="s">
        <v>1058</v>
      </c>
      <c r="B26" s="9">
        <v>4</v>
      </c>
    </row>
    <row r="28" spans="1:3" x14ac:dyDescent="0.15">
      <c r="A28" s="9" t="s">
        <v>1056</v>
      </c>
      <c r="B28" s="202">
        <f>B24*B25*(POWER(1+B24,B25)+1)</f>
        <v>6.0886890422960999E-2</v>
      </c>
    </row>
    <row r="29" spans="1:3" x14ac:dyDescent="0.15">
      <c r="A29" s="9" t="s">
        <v>805</v>
      </c>
      <c r="B29" s="16">
        <f>B23*POWER(1+B28,B26)</f>
        <v>1266.7074684659131</v>
      </c>
    </row>
    <row r="31" spans="1:3" x14ac:dyDescent="0.15">
      <c r="A31" s="32" t="s">
        <v>490</v>
      </c>
    </row>
    <row r="32" spans="1:3" x14ac:dyDescent="0.15">
      <c r="A32" s="13" t="s">
        <v>1061</v>
      </c>
    </row>
    <row r="33" spans="1:14" x14ac:dyDescent="0.15">
      <c r="A33" s="9" t="s">
        <v>801</v>
      </c>
      <c r="B33" s="9">
        <v>0</v>
      </c>
      <c r="C33" s="9">
        <v>1</v>
      </c>
      <c r="D33" s="9">
        <v>2</v>
      </c>
      <c r="E33" s="9">
        <v>3</v>
      </c>
      <c r="F33" s="9">
        <v>4</v>
      </c>
      <c r="G33" s="9">
        <v>5</v>
      </c>
      <c r="H33" s="9">
        <v>6</v>
      </c>
    </row>
    <row r="34" spans="1:14" x14ac:dyDescent="0.15">
      <c r="A34" s="9" t="s">
        <v>1060</v>
      </c>
      <c r="B34" s="9">
        <v>-4</v>
      </c>
      <c r="C34" s="9">
        <v>1</v>
      </c>
      <c r="D34" s="9">
        <v>1</v>
      </c>
      <c r="E34" s="9">
        <v>1</v>
      </c>
      <c r="F34" s="9">
        <v>1</v>
      </c>
      <c r="G34" s="9">
        <v>1</v>
      </c>
      <c r="H34" s="9">
        <v>1</v>
      </c>
    </row>
    <row r="36" spans="1:14" x14ac:dyDescent="0.15">
      <c r="B36" s="188"/>
    </row>
    <row r="37" spans="1:14" x14ac:dyDescent="0.15">
      <c r="A37" s="9" t="s">
        <v>1056</v>
      </c>
      <c r="B37" s="123">
        <v>0.12976959078756212</v>
      </c>
    </row>
    <row r="39" spans="1:14" x14ac:dyDescent="0.15">
      <c r="A39" s="13" t="s">
        <v>1062</v>
      </c>
    </row>
    <row r="40" spans="1:14" x14ac:dyDescent="0.15">
      <c r="A40" s="9" t="s">
        <v>801</v>
      </c>
      <c r="B40" s="9">
        <v>0</v>
      </c>
      <c r="C40" s="9">
        <v>1</v>
      </c>
      <c r="D40" s="9">
        <v>2</v>
      </c>
      <c r="E40" s="9">
        <v>3</v>
      </c>
      <c r="F40" s="9">
        <v>4</v>
      </c>
      <c r="G40" s="9">
        <v>5</v>
      </c>
    </row>
    <row r="41" spans="1:14" x14ac:dyDescent="0.15">
      <c r="A41" s="9" t="s">
        <v>1060</v>
      </c>
      <c r="B41" s="9">
        <v>-6</v>
      </c>
      <c r="C41" s="9">
        <v>2</v>
      </c>
      <c r="D41" s="9">
        <v>2</v>
      </c>
      <c r="E41" s="9">
        <v>1.5</v>
      </c>
      <c r="F41" s="9">
        <v>1.5</v>
      </c>
      <c r="G41" s="9">
        <v>1.5</v>
      </c>
    </row>
    <row r="43" spans="1:14" x14ac:dyDescent="0.15">
      <c r="B43" s="188"/>
    </row>
    <row r="44" spans="1:14" x14ac:dyDescent="0.15">
      <c r="A44" s="9" t="s">
        <v>1056</v>
      </c>
      <c r="B44" s="123">
        <v>0.13799314135471749</v>
      </c>
    </row>
    <row r="46" spans="1:14" x14ac:dyDescent="0.15">
      <c r="A46" s="9" t="s">
        <v>1012</v>
      </c>
      <c r="B46" s="104">
        <v>0.09</v>
      </c>
      <c r="C46" s="104">
        <f>B46+1%</f>
        <v>9.9999999999999992E-2</v>
      </c>
      <c r="D46" s="104">
        <f t="shared" ref="D46:I46" si="0">C46+1%</f>
        <v>0.10999999999999999</v>
      </c>
      <c r="E46" s="104">
        <f t="shared" si="0"/>
        <v>0.11999999999999998</v>
      </c>
      <c r="F46" s="104">
        <f t="shared" si="0"/>
        <v>0.12999999999999998</v>
      </c>
      <c r="G46" s="104">
        <f t="shared" si="0"/>
        <v>0.13999999999999999</v>
      </c>
      <c r="H46" s="104">
        <f t="shared" si="0"/>
        <v>0.15</v>
      </c>
      <c r="I46" s="104">
        <f t="shared" si="0"/>
        <v>0.16</v>
      </c>
      <c r="J46" s="104">
        <f>I46+1%</f>
        <v>0.17</v>
      </c>
      <c r="K46" s="104">
        <f>J46+1%</f>
        <v>0.18000000000000002</v>
      </c>
      <c r="L46" s="104">
        <f>K46+1%</f>
        <v>0.19000000000000003</v>
      </c>
      <c r="M46" s="104">
        <f>L46+1%</f>
        <v>0.20000000000000004</v>
      </c>
      <c r="N46" s="104">
        <f>M46+1%</f>
        <v>0.21000000000000005</v>
      </c>
    </row>
    <row r="47" spans="1:14" x14ac:dyDescent="0.15">
      <c r="A47" s="9" t="s">
        <v>1336</v>
      </c>
      <c r="B47" s="203">
        <f t="shared" ref="B47:I47" si="1">SUMPRODUCT($B34:$H34,POWER(1+B46,-$B33:$H33))</f>
        <v>0.48591859023093176</v>
      </c>
      <c r="C47" s="203">
        <f t="shared" si="1"/>
        <v>0.35526069946222483</v>
      </c>
      <c r="D47" s="203">
        <f t="shared" si="1"/>
        <v>0.23053785373825852</v>
      </c>
      <c r="E47" s="203">
        <f t="shared" si="1"/>
        <v>0.11140732352232741</v>
      </c>
      <c r="F47" s="203">
        <f t="shared" si="1"/>
        <v>-2.4502110241529373E-3</v>
      </c>
      <c r="G47" s="203">
        <f t="shared" si="1"/>
        <v>-0.11133248345748997</v>
      </c>
      <c r="H47" s="203">
        <f t="shared" si="1"/>
        <v>-0.21551730607704078</v>
      </c>
      <c r="I47" s="203">
        <f t="shared" si="1"/>
        <v>-0.315264091671348</v>
      </c>
      <c r="J47" s="203">
        <f>SUMPRODUCT($B34:$H34,POWER(1+J46,-$B33:$H33))</f>
        <v>-0.41081524553058452</v>
      </c>
      <c r="K47" s="203">
        <f>SUMPRODUCT($B34:$H34,POWER(1+K46,-$B33:$H33))</f>
        <v>-0.50239743987974805</v>
      </c>
      <c r="L47" s="203">
        <f>SUMPRODUCT($B34:$H34,POWER(1+L46,-$B33:$H33))</f>
        <v>-0.59022278164974096</v>
      </c>
      <c r="M47" s="203">
        <f>SUMPRODUCT($B34:$H34,POWER(1+M46,-$B33:$H33))</f>
        <v>-0.6744898834019204</v>
      </c>
      <c r="N47" s="203">
        <f>SUMPRODUCT($B34:$H34,POWER(1+N46,-$B33:$H33))</f>
        <v>-0.75538484623979396</v>
      </c>
    </row>
    <row r="48" spans="1:14" x14ac:dyDescent="0.15">
      <c r="A48" s="9" t="s">
        <v>1337</v>
      </c>
      <c r="B48" s="203">
        <f t="shared" ref="B48:I48" si="2">SUMPRODUCT($B41:$G41,POWER(1+B46,-$B40:$G40))</f>
        <v>0.71403248799112906</v>
      </c>
      <c r="C48" s="203">
        <f t="shared" si="2"/>
        <v>0.55394874915399361</v>
      </c>
      <c r="D48" s="203">
        <f t="shared" si="2"/>
        <v>0.40010719354667768</v>
      </c>
      <c r="E48" s="203">
        <f t="shared" si="2"/>
        <v>0.25218981372159077</v>
      </c>
      <c r="F48" s="203">
        <f t="shared" si="2"/>
        <v>0.10989811010715289</v>
      </c>
      <c r="G48" s="203">
        <f t="shared" si="2"/>
        <v>-2.7048291249088918E-2</v>
      </c>
      <c r="H48" s="203">
        <f t="shared" si="2"/>
        <v>-0.15891291063885038</v>
      </c>
      <c r="I48" s="203">
        <f t="shared" si="2"/>
        <v>-0.2859435860955416</v>
      </c>
      <c r="J48" s="203">
        <f>SUMPRODUCT($B41:$G41,POWER(1+J46,-$B40:$G40))</f>
        <v>-0.4083735530425634</v>
      </c>
      <c r="K48" s="203">
        <f>SUMPRODUCT($B41:$G41,POWER(1+K46,-$B40:$G40))</f>
        <v>-0.52642244014705097</v>
      </c>
      <c r="L48" s="203">
        <f>SUMPRODUCT($B41:$G41,POWER(1+L46,-$B40:$G40))</f>
        <v>-0.64029718858353479</v>
      </c>
      <c r="M48" s="203">
        <f>SUMPRODUCT($B41:$G41,POWER(1+M46,-$B40:$G40))</f>
        <v>-0.75019290123456728</v>
      </c>
      <c r="N48" s="203">
        <f>SUMPRODUCT($B41:$G41,POWER(1+N46,-$B40:$G40))</f>
        <v>-0.85629362774682316</v>
      </c>
    </row>
    <row r="52" spans="1:3" x14ac:dyDescent="0.15">
      <c r="A52" s="32" t="s">
        <v>1009</v>
      </c>
    </row>
    <row r="53" spans="1:3" x14ac:dyDescent="0.15">
      <c r="A53" s="13" t="s">
        <v>1063</v>
      </c>
    </row>
    <row r="54" spans="1:3" x14ac:dyDescent="0.15">
      <c r="A54" s="9" t="s">
        <v>1012</v>
      </c>
      <c r="B54" s="162">
        <v>8.0000000000000002E-3</v>
      </c>
    </row>
    <row r="55" spans="1:3" x14ac:dyDescent="0.15">
      <c r="A55" s="9" t="s">
        <v>1065</v>
      </c>
      <c r="B55" s="9">
        <v>3</v>
      </c>
    </row>
    <row r="56" spans="1:3" x14ac:dyDescent="0.15">
      <c r="A56" s="9" t="s">
        <v>1056</v>
      </c>
      <c r="B56" s="202">
        <f>POWER(1+B54,12/B55)-1</f>
        <v>3.2386052096000206E-2</v>
      </c>
    </row>
    <row r="58" spans="1:3" x14ac:dyDescent="0.15">
      <c r="A58" s="13" t="s">
        <v>1064</v>
      </c>
    </row>
    <row r="59" spans="1:3" x14ac:dyDescent="0.15">
      <c r="A59" s="9" t="s">
        <v>1012</v>
      </c>
      <c r="B59" s="162">
        <v>1.6E-2</v>
      </c>
    </row>
    <row r="60" spans="1:3" x14ac:dyDescent="0.15">
      <c r="A60" s="9" t="s">
        <v>1065</v>
      </c>
      <c r="B60" s="9">
        <v>6</v>
      </c>
    </row>
    <row r="61" spans="1:3" x14ac:dyDescent="0.15">
      <c r="A61" s="9" t="s">
        <v>1056</v>
      </c>
      <c r="B61" s="202">
        <f>POWER(1+B59,12/B60)-1</f>
        <v>3.2256000000000062E-2</v>
      </c>
    </row>
    <row r="63" spans="1:3" x14ac:dyDescent="0.15">
      <c r="A63" s="32" t="s">
        <v>1010</v>
      </c>
      <c r="B63" s="470" t="s">
        <v>806</v>
      </c>
      <c r="C63" s="470"/>
    </row>
    <row r="64" spans="1:3" x14ac:dyDescent="0.15">
      <c r="A64" s="9" t="s">
        <v>802</v>
      </c>
      <c r="B64" s="469">
        <v>10000000</v>
      </c>
      <c r="C64" s="469"/>
    </row>
    <row r="65" spans="1:5" x14ac:dyDescent="0.15">
      <c r="A65" s="9" t="s">
        <v>805</v>
      </c>
      <c r="B65" s="469">
        <v>10019745</v>
      </c>
      <c r="C65" s="469"/>
    </row>
    <row r="66" spans="1:5" x14ac:dyDescent="0.15">
      <c r="A66" s="9" t="s">
        <v>1066</v>
      </c>
      <c r="B66" s="9">
        <v>24</v>
      </c>
    </row>
    <row r="68" spans="1:5" x14ac:dyDescent="0.15">
      <c r="A68" s="9" t="s">
        <v>1067</v>
      </c>
      <c r="B68" s="205">
        <f>(B65-B64)/B64</f>
        <v>1.9745000000000001E-3</v>
      </c>
    </row>
    <row r="69" spans="1:5" x14ac:dyDescent="0.15">
      <c r="A69" s="9" t="s">
        <v>1056</v>
      </c>
      <c r="B69" s="202">
        <f>POWER(1+B68,365/B66)-1</f>
        <v>3.0453758172704237E-2</v>
      </c>
    </row>
    <row r="71" spans="1:5" x14ac:dyDescent="0.15">
      <c r="A71" s="32" t="s">
        <v>1031</v>
      </c>
    </row>
    <row r="72" spans="1:5" x14ac:dyDescent="0.15">
      <c r="A72" s="9" t="s">
        <v>802</v>
      </c>
      <c r="B72" s="9">
        <v>100</v>
      </c>
    </row>
    <row r="73" spans="1:5" x14ac:dyDescent="0.15">
      <c r="A73" s="9" t="s">
        <v>1056</v>
      </c>
      <c r="B73" s="104">
        <v>7.0000000000000007E-2</v>
      </c>
    </row>
    <row r="74" spans="1:5" x14ac:dyDescent="0.15">
      <c r="A74" s="9" t="s">
        <v>1058</v>
      </c>
      <c r="B74" s="9">
        <v>4</v>
      </c>
    </row>
    <row r="76" spans="1:5" x14ac:dyDescent="0.15">
      <c r="A76" s="13" t="s">
        <v>1073</v>
      </c>
    </row>
    <row r="77" spans="1:5" ht="30" x14ac:dyDescent="0.15">
      <c r="A77" s="107" t="s">
        <v>43</v>
      </c>
      <c r="B77" s="107" t="s">
        <v>1071</v>
      </c>
      <c r="C77" s="107" t="s">
        <v>1070</v>
      </c>
      <c r="D77" s="107" t="s">
        <v>1069</v>
      </c>
      <c r="E77" s="107" t="s">
        <v>1068</v>
      </c>
    </row>
    <row r="78" spans="1:5" x14ac:dyDescent="0.15">
      <c r="A78" s="121">
        <v>1</v>
      </c>
      <c r="B78" s="24">
        <f>B72</f>
        <v>100</v>
      </c>
      <c r="C78" s="24">
        <v>29.5228</v>
      </c>
      <c r="D78" s="24">
        <f>C78-E78</f>
        <v>22.5228</v>
      </c>
      <c r="E78" s="24">
        <f>B78*$B$73</f>
        <v>7.0000000000000009</v>
      </c>
    </row>
    <row r="79" spans="1:5" x14ac:dyDescent="0.15">
      <c r="A79" s="121">
        <f>A78+1</f>
        <v>2</v>
      </c>
      <c r="B79" s="24">
        <f>B78-D78</f>
        <v>77.477199999999996</v>
      </c>
      <c r="C79" s="24">
        <f>C78</f>
        <v>29.5228</v>
      </c>
      <c r="D79" s="24">
        <f>C79-E79</f>
        <v>24.099395999999999</v>
      </c>
      <c r="E79" s="24">
        <f>B79*$B$73</f>
        <v>5.4234040000000006</v>
      </c>
    </row>
    <row r="80" spans="1:5" x14ac:dyDescent="0.15">
      <c r="A80" s="121">
        <f>A79+1</f>
        <v>3</v>
      </c>
      <c r="B80" s="24">
        <f>B79-D79</f>
        <v>53.377803999999998</v>
      </c>
      <c r="C80" s="24">
        <f>C79</f>
        <v>29.5228</v>
      </c>
      <c r="D80" s="24">
        <f>C80-E80</f>
        <v>25.786353720000001</v>
      </c>
      <c r="E80" s="24">
        <f>B80*$B$73</f>
        <v>3.73644628</v>
      </c>
    </row>
    <row r="81" spans="1:5" x14ac:dyDescent="0.15">
      <c r="A81" s="121">
        <f>A80+1</f>
        <v>4</v>
      </c>
      <c r="B81" s="24">
        <f>B80-D80</f>
        <v>27.591450279999997</v>
      </c>
      <c r="C81" s="24">
        <f>C80</f>
        <v>29.5228</v>
      </c>
      <c r="D81" s="24">
        <f>C81-E81</f>
        <v>27.591398480399999</v>
      </c>
      <c r="E81" s="24">
        <f>B81*$B$73</f>
        <v>1.9314015195999998</v>
      </c>
    </row>
    <row r="82" spans="1:5" x14ac:dyDescent="0.15">
      <c r="D82" s="24">
        <f>SUM(D78:D81)</f>
        <v>99.999948200399999</v>
      </c>
    </row>
    <row r="83" spans="1:5" x14ac:dyDescent="0.15">
      <c r="B83" s="206"/>
    </row>
    <row r="85" spans="1:5" x14ac:dyDescent="0.15">
      <c r="A85" s="13" t="s">
        <v>1072</v>
      </c>
    </row>
    <row r="86" spans="1:5" ht="30" x14ac:dyDescent="0.15">
      <c r="A86" s="107" t="s">
        <v>43</v>
      </c>
      <c r="B86" s="107" t="s">
        <v>1071</v>
      </c>
      <c r="C86" s="107" t="s">
        <v>1070</v>
      </c>
      <c r="D86" s="107" t="s">
        <v>1069</v>
      </c>
      <c r="E86" s="107" t="s">
        <v>1068</v>
      </c>
    </row>
    <row r="87" spans="1:5" x14ac:dyDescent="0.15">
      <c r="A87" s="121">
        <v>1</v>
      </c>
      <c r="B87" s="24">
        <f>B72</f>
        <v>100</v>
      </c>
      <c r="C87" s="24">
        <f>D87+E87</f>
        <v>32</v>
      </c>
      <c r="D87" s="24">
        <v>25</v>
      </c>
      <c r="E87" s="24">
        <f>B87*$B$73</f>
        <v>7.0000000000000009</v>
      </c>
    </row>
    <row r="88" spans="1:5" x14ac:dyDescent="0.15">
      <c r="A88" s="121">
        <f>A87+1</f>
        <v>2</v>
      </c>
      <c r="B88" s="24">
        <f>B87-D87</f>
        <v>75</v>
      </c>
      <c r="C88" s="24">
        <f>D88+E88</f>
        <v>30.25</v>
      </c>
      <c r="D88" s="24">
        <f>D87</f>
        <v>25</v>
      </c>
      <c r="E88" s="24">
        <f>B88*$B$73</f>
        <v>5.2500000000000009</v>
      </c>
    </row>
    <row r="89" spans="1:5" x14ac:dyDescent="0.15">
      <c r="A89" s="121">
        <f>A88+1</f>
        <v>3</v>
      </c>
      <c r="B89" s="24">
        <f>B88-D88</f>
        <v>50</v>
      </c>
      <c r="C89" s="24">
        <f>D89+E89</f>
        <v>28.5</v>
      </c>
      <c r="D89" s="24">
        <f>D88</f>
        <v>25</v>
      </c>
      <c r="E89" s="24">
        <f>B89*$B$73</f>
        <v>3.5000000000000004</v>
      </c>
    </row>
    <row r="90" spans="1:5" x14ac:dyDescent="0.15">
      <c r="A90" s="121">
        <f>A89+1</f>
        <v>4</v>
      </c>
      <c r="B90" s="24">
        <f>B89-D89</f>
        <v>25</v>
      </c>
      <c r="C90" s="24">
        <f>D90+E90</f>
        <v>26.75</v>
      </c>
      <c r="D90" s="24">
        <f>D89</f>
        <v>25</v>
      </c>
      <c r="E90" s="24">
        <f>B90*$B$73</f>
        <v>1.7500000000000002</v>
      </c>
    </row>
    <row r="91" spans="1:5" x14ac:dyDescent="0.15">
      <c r="D91" s="24">
        <f>SUM(D87:D90)</f>
        <v>100</v>
      </c>
    </row>
    <row r="92" spans="1:5" x14ac:dyDescent="0.15">
      <c r="B92" s="206"/>
    </row>
    <row r="94" spans="1:5" x14ac:dyDescent="0.15">
      <c r="A94" s="32" t="s">
        <v>1032</v>
      </c>
    </row>
    <row r="95" spans="1:5" x14ac:dyDescent="0.15">
      <c r="A95" s="9" t="s">
        <v>802</v>
      </c>
      <c r="B95" s="9">
        <v>400</v>
      </c>
    </row>
    <row r="96" spans="1:5" x14ac:dyDescent="0.15">
      <c r="A96" s="9" t="s">
        <v>1056</v>
      </c>
      <c r="B96" s="162">
        <v>6.5000000000000002E-2</v>
      </c>
    </row>
    <row r="97" spans="1:6" x14ac:dyDescent="0.15">
      <c r="A97" s="9" t="s">
        <v>1058</v>
      </c>
      <c r="B97" s="9">
        <v>7</v>
      </c>
      <c r="D97" s="9" t="s">
        <v>696</v>
      </c>
    </row>
    <row r="98" spans="1:6" x14ac:dyDescent="0.15">
      <c r="A98" s="9" t="s">
        <v>1074</v>
      </c>
      <c r="B98" s="9">
        <v>2</v>
      </c>
    </row>
    <row r="100" spans="1:6" x14ac:dyDescent="0.15">
      <c r="A100" s="13" t="s">
        <v>1073</v>
      </c>
    </row>
    <row r="101" spans="1:6" ht="45" x14ac:dyDescent="0.15">
      <c r="A101" s="107" t="s">
        <v>43</v>
      </c>
      <c r="B101" s="107" t="s">
        <v>1071</v>
      </c>
      <c r="C101" s="107" t="s">
        <v>1070</v>
      </c>
      <c r="D101" s="107" t="s">
        <v>1069</v>
      </c>
      <c r="E101" s="107" t="s">
        <v>1068</v>
      </c>
      <c r="F101" s="211" t="s">
        <v>1076</v>
      </c>
    </row>
    <row r="102" spans="1:6" x14ac:dyDescent="0.15">
      <c r="A102" s="121">
        <v>1</v>
      </c>
      <c r="B102" s="24">
        <f>B95</f>
        <v>400</v>
      </c>
      <c r="C102" s="24"/>
      <c r="D102" s="24">
        <f t="shared" ref="D102:D108" si="3">C102-E102</f>
        <v>0</v>
      </c>
      <c r="E102" s="24"/>
      <c r="F102" s="34">
        <f t="shared" ref="F102:F108" si="4">B102*$B$96</f>
        <v>26</v>
      </c>
    </row>
    <row r="103" spans="1:6" x14ac:dyDescent="0.15">
      <c r="A103" s="121">
        <f t="shared" ref="A103:A108" si="5">A102+1</f>
        <v>2</v>
      </c>
      <c r="B103" s="24">
        <f>B102-D102+F102</f>
        <v>426</v>
      </c>
      <c r="C103" s="24"/>
      <c r="D103" s="24">
        <f t="shared" si="3"/>
        <v>0</v>
      </c>
      <c r="E103" s="24"/>
      <c r="F103" s="34">
        <f t="shared" si="4"/>
        <v>27.69</v>
      </c>
    </row>
    <row r="104" spans="1:6" x14ac:dyDescent="0.15">
      <c r="A104" s="121">
        <f t="shared" si="5"/>
        <v>3</v>
      </c>
      <c r="B104" s="24">
        <f>B103-D103+F103</f>
        <v>453.69</v>
      </c>
      <c r="C104" s="24">
        <v>109.17348336260372</v>
      </c>
      <c r="D104" s="24">
        <f t="shared" si="3"/>
        <v>79.683633362603715</v>
      </c>
      <c r="E104" s="24">
        <f>IF(F104&gt;C104,C104,F104)</f>
        <v>29.489850000000001</v>
      </c>
      <c r="F104" s="34">
        <f t="shared" si="4"/>
        <v>29.489850000000001</v>
      </c>
    </row>
    <row r="105" spans="1:6" x14ac:dyDescent="0.15">
      <c r="A105" s="121">
        <f t="shared" si="5"/>
        <v>4</v>
      </c>
      <c r="B105" s="24">
        <f>B104-D104</f>
        <v>374.0063666373963</v>
      </c>
      <c r="C105" s="24">
        <f>C104</f>
        <v>109.17348336260372</v>
      </c>
      <c r="D105" s="24">
        <f t="shared" si="3"/>
        <v>84.863069531172954</v>
      </c>
      <c r="E105" s="24">
        <f>IF(F105&gt;C105,C105,F105)</f>
        <v>24.310413831430761</v>
      </c>
      <c r="F105" s="34">
        <f t="shared" si="4"/>
        <v>24.310413831430761</v>
      </c>
    </row>
    <row r="106" spans="1:6" x14ac:dyDescent="0.15">
      <c r="A106" s="121">
        <f t="shared" si="5"/>
        <v>5</v>
      </c>
      <c r="B106" s="24">
        <f>B105-D105</f>
        <v>289.14329710622337</v>
      </c>
      <c r="C106" s="24">
        <f>C105</f>
        <v>109.17348336260372</v>
      </c>
      <c r="D106" s="24">
        <f t="shared" si="3"/>
        <v>90.379169050699204</v>
      </c>
      <c r="E106" s="24">
        <f>IF(F106&gt;C106,C106,F106)</f>
        <v>18.794314311904518</v>
      </c>
      <c r="F106" s="34">
        <f t="shared" si="4"/>
        <v>18.794314311904518</v>
      </c>
    </row>
    <row r="107" spans="1:6" x14ac:dyDescent="0.15">
      <c r="A107" s="121">
        <f t="shared" si="5"/>
        <v>6</v>
      </c>
      <c r="B107" s="24">
        <f>B106-D106</f>
        <v>198.76412805552417</v>
      </c>
      <c r="C107" s="24">
        <f>C106</f>
        <v>109.17348336260372</v>
      </c>
      <c r="D107" s="24">
        <f t="shared" si="3"/>
        <v>96.253815038994645</v>
      </c>
      <c r="E107" s="24">
        <f>IF(F107&gt;C107,C107,F107)</f>
        <v>12.919668323609072</v>
      </c>
      <c r="F107" s="34">
        <f t="shared" si="4"/>
        <v>12.919668323609072</v>
      </c>
    </row>
    <row r="108" spans="1:6" x14ac:dyDescent="0.15">
      <c r="A108" s="121">
        <f t="shared" si="5"/>
        <v>7</v>
      </c>
      <c r="B108" s="24">
        <f>B107-D107</f>
        <v>102.51031301652952</v>
      </c>
      <c r="C108" s="24">
        <f>C107</f>
        <v>109.17348336260372</v>
      </c>
      <c r="D108" s="24">
        <f t="shared" si="3"/>
        <v>102.5103130165293</v>
      </c>
      <c r="E108" s="24">
        <f>IF(F108&gt;C108,C108,F108)</f>
        <v>6.6631703460744189</v>
      </c>
      <c r="F108" s="34">
        <f t="shared" si="4"/>
        <v>6.6631703460744189</v>
      </c>
    </row>
    <row r="109" spans="1:6" x14ac:dyDescent="0.15">
      <c r="D109" s="24">
        <f>SUM(D102:D108)</f>
        <v>453.68999999999983</v>
      </c>
    </row>
    <row r="110" spans="1:6" x14ac:dyDescent="0.15">
      <c r="A110" s="9" t="s">
        <v>1075</v>
      </c>
      <c r="B110" s="206">
        <f>SUMPRODUCT(C102:C108,POWER(1+B96,-(A102:A108)))-B95</f>
        <v>0</v>
      </c>
    </row>
    <row r="111" spans="1:6" x14ac:dyDescent="0.15">
      <c r="B111" s="206"/>
    </row>
    <row r="112" spans="1:6" x14ac:dyDescent="0.15">
      <c r="B112" s="206"/>
    </row>
    <row r="113" spans="1:6" x14ac:dyDescent="0.15">
      <c r="B113" s="206"/>
    </row>
    <row r="115" spans="1:6" x14ac:dyDescent="0.15">
      <c r="A115" s="13" t="s">
        <v>1072</v>
      </c>
    </row>
    <row r="116" spans="1:6" ht="45" x14ac:dyDescent="0.15">
      <c r="A116" s="107" t="s">
        <v>43</v>
      </c>
      <c r="B116" s="107" t="s">
        <v>1071</v>
      </c>
      <c r="C116" s="107" t="s">
        <v>1070</v>
      </c>
      <c r="D116" s="107" t="s">
        <v>1069</v>
      </c>
      <c r="E116" s="107" t="s">
        <v>1068</v>
      </c>
      <c r="F116" s="211" t="s">
        <v>1076</v>
      </c>
    </row>
    <row r="117" spans="1:6" x14ac:dyDescent="0.15">
      <c r="A117" s="121">
        <v>1</v>
      </c>
      <c r="B117" s="24">
        <f>B95</f>
        <v>400</v>
      </c>
      <c r="C117" s="24">
        <f t="shared" ref="C117:C123" si="6">D117+E117</f>
        <v>0</v>
      </c>
      <c r="D117" s="24"/>
      <c r="E117" s="24"/>
      <c r="F117" s="34">
        <f>B117*$B$96</f>
        <v>26</v>
      </c>
    </row>
    <row r="118" spans="1:6" x14ac:dyDescent="0.15">
      <c r="A118" s="121">
        <f t="shared" ref="A118:A123" si="7">A117+1</f>
        <v>2</v>
      </c>
      <c r="B118" s="24">
        <f>B117-D117+F117</f>
        <v>426</v>
      </c>
      <c r="C118" s="24">
        <f t="shared" si="6"/>
        <v>0</v>
      </c>
      <c r="D118" s="24"/>
      <c r="E118" s="24"/>
      <c r="F118" s="34">
        <f t="shared" ref="F118:F123" si="8">B118*$B$96</f>
        <v>27.69</v>
      </c>
    </row>
    <row r="119" spans="1:6" x14ac:dyDescent="0.15">
      <c r="A119" s="121">
        <f t="shared" si="7"/>
        <v>3</v>
      </c>
      <c r="B119" s="24">
        <f>B118-D118+F118</f>
        <v>453.69</v>
      </c>
      <c r="C119" s="24">
        <f t="shared" si="6"/>
        <v>120.22785</v>
      </c>
      <c r="D119" s="24">
        <f>B119/5</f>
        <v>90.738</v>
      </c>
      <c r="E119" s="24">
        <f>F119</f>
        <v>29.489850000000001</v>
      </c>
      <c r="F119" s="34">
        <f t="shared" si="8"/>
        <v>29.489850000000001</v>
      </c>
    </row>
    <row r="120" spans="1:6" x14ac:dyDescent="0.15">
      <c r="A120" s="121">
        <f t="shared" si="7"/>
        <v>4</v>
      </c>
      <c r="B120" s="24">
        <f>B119-D119</f>
        <v>362.952</v>
      </c>
      <c r="C120" s="24">
        <f t="shared" si="6"/>
        <v>114.32988</v>
      </c>
      <c r="D120" s="24">
        <f>D119</f>
        <v>90.738</v>
      </c>
      <c r="E120" s="24">
        <f>F120</f>
        <v>23.59188</v>
      </c>
      <c r="F120" s="34">
        <f t="shared" si="8"/>
        <v>23.59188</v>
      </c>
    </row>
    <row r="121" spans="1:6" x14ac:dyDescent="0.15">
      <c r="A121" s="121">
        <f t="shared" si="7"/>
        <v>5</v>
      </c>
      <c r="B121" s="24">
        <f>B120-D120</f>
        <v>272.214</v>
      </c>
      <c r="C121" s="24">
        <f t="shared" si="6"/>
        <v>108.43191</v>
      </c>
      <c r="D121" s="24">
        <f>D120</f>
        <v>90.738</v>
      </c>
      <c r="E121" s="24">
        <f>F121</f>
        <v>17.693909999999999</v>
      </c>
      <c r="F121" s="34">
        <f t="shared" si="8"/>
        <v>17.693909999999999</v>
      </c>
    </row>
    <row r="122" spans="1:6" x14ac:dyDescent="0.15">
      <c r="A122" s="121">
        <f t="shared" si="7"/>
        <v>6</v>
      </c>
      <c r="B122" s="24">
        <f>B121-D121</f>
        <v>181.476</v>
      </c>
      <c r="C122" s="24">
        <f t="shared" si="6"/>
        <v>102.53394</v>
      </c>
      <c r="D122" s="24">
        <f>D121</f>
        <v>90.738</v>
      </c>
      <c r="E122" s="24">
        <f>F122</f>
        <v>11.79594</v>
      </c>
      <c r="F122" s="34">
        <f t="shared" si="8"/>
        <v>11.79594</v>
      </c>
    </row>
    <row r="123" spans="1:6" x14ac:dyDescent="0.15">
      <c r="A123" s="121">
        <f t="shared" si="7"/>
        <v>7</v>
      </c>
      <c r="B123" s="24">
        <f>B122-D122</f>
        <v>90.738</v>
      </c>
      <c r="C123" s="24">
        <f t="shared" si="6"/>
        <v>96.63597</v>
      </c>
      <c r="D123" s="24">
        <f>D122</f>
        <v>90.738</v>
      </c>
      <c r="E123" s="24">
        <f>F123</f>
        <v>5.8979699999999999</v>
      </c>
      <c r="F123" s="34">
        <f t="shared" si="8"/>
        <v>5.8979699999999999</v>
      </c>
    </row>
    <row r="124" spans="1:6" x14ac:dyDescent="0.15">
      <c r="D124" s="24">
        <f>SUM(D117:D123)</f>
        <v>453.69</v>
      </c>
    </row>
    <row r="125" spans="1:6" x14ac:dyDescent="0.15">
      <c r="A125" s="9" t="s">
        <v>1075</v>
      </c>
      <c r="B125" s="206">
        <f>SUMPRODUCT(C117:C123,POWER(1+B96,-A117:A123))-B95</f>
        <v>0</v>
      </c>
    </row>
    <row r="127" spans="1:6" x14ac:dyDescent="0.15">
      <c r="A127" s="32" t="s">
        <v>1033</v>
      </c>
    </row>
    <row r="128" spans="1:6" x14ac:dyDescent="0.15">
      <c r="A128" s="9" t="s">
        <v>1077</v>
      </c>
      <c r="B128" s="104">
        <v>0.98</v>
      </c>
      <c r="C128" s="104">
        <v>1.01</v>
      </c>
    </row>
    <row r="129" spans="1:3" x14ac:dyDescent="0.15">
      <c r="A129" s="9" t="s">
        <v>1078</v>
      </c>
      <c r="B129" s="104">
        <v>1.08</v>
      </c>
      <c r="C129" s="104">
        <v>1.08</v>
      </c>
    </row>
    <row r="130" spans="1:3" x14ac:dyDescent="0.15">
      <c r="A130" s="9" t="s">
        <v>1079</v>
      </c>
      <c r="B130" s="104">
        <v>7.0000000000000007E-2</v>
      </c>
      <c r="C130" s="104">
        <v>7.0000000000000007E-2</v>
      </c>
    </row>
    <row r="131" spans="1:3" x14ac:dyDescent="0.15">
      <c r="A131" s="9" t="s">
        <v>1058</v>
      </c>
      <c r="B131" s="25">
        <v>10</v>
      </c>
    </row>
    <row r="133" spans="1:3" ht="15" x14ac:dyDescent="0.15">
      <c r="A133" s="107" t="s">
        <v>801</v>
      </c>
      <c r="B133" s="107" t="s">
        <v>1060</v>
      </c>
      <c r="C133" s="107" t="s">
        <v>1060</v>
      </c>
    </row>
    <row r="134" spans="1:3" x14ac:dyDescent="0.15">
      <c r="A134" s="9">
        <v>0</v>
      </c>
      <c r="B134" s="104">
        <f>-B128</f>
        <v>-0.98</v>
      </c>
      <c r="C134" s="104">
        <f>-C128</f>
        <v>-1.01</v>
      </c>
    </row>
    <row r="135" spans="1:3" x14ac:dyDescent="0.15">
      <c r="A135" s="9">
        <v>1</v>
      </c>
      <c r="B135" s="104">
        <f t="shared" ref="B135:C143" si="9">B$130</f>
        <v>7.0000000000000007E-2</v>
      </c>
      <c r="C135" s="104">
        <f t="shared" si="9"/>
        <v>7.0000000000000007E-2</v>
      </c>
    </row>
    <row r="136" spans="1:3" x14ac:dyDescent="0.15">
      <c r="A136" s="9">
        <f>A135+1</f>
        <v>2</v>
      </c>
      <c r="B136" s="104">
        <f t="shared" si="9"/>
        <v>7.0000000000000007E-2</v>
      </c>
      <c r="C136" s="104">
        <f t="shared" si="9"/>
        <v>7.0000000000000007E-2</v>
      </c>
    </row>
    <row r="137" spans="1:3" x14ac:dyDescent="0.15">
      <c r="A137" s="9">
        <f t="shared" ref="A137:A144" si="10">A136+1</f>
        <v>3</v>
      </c>
      <c r="B137" s="104">
        <f t="shared" si="9"/>
        <v>7.0000000000000007E-2</v>
      </c>
      <c r="C137" s="104">
        <f t="shared" si="9"/>
        <v>7.0000000000000007E-2</v>
      </c>
    </row>
    <row r="138" spans="1:3" x14ac:dyDescent="0.15">
      <c r="A138" s="9">
        <f t="shared" si="10"/>
        <v>4</v>
      </c>
      <c r="B138" s="104">
        <f t="shared" si="9"/>
        <v>7.0000000000000007E-2</v>
      </c>
      <c r="C138" s="104">
        <f t="shared" si="9"/>
        <v>7.0000000000000007E-2</v>
      </c>
    </row>
    <row r="139" spans="1:3" x14ac:dyDescent="0.15">
      <c r="A139" s="9">
        <f t="shared" si="10"/>
        <v>5</v>
      </c>
      <c r="B139" s="104">
        <f t="shared" si="9"/>
        <v>7.0000000000000007E-2</v>
      </c>
      <c r="C139" s="104">
        <f t="shared" si="9"/>
        <v>7.0000000000000007E-2</v>
      </c>
    </row>
    <row r="140" spans="1:3" x14ac:dyDescent="0.15">
      <c r="A140" s="9">
        <f t="shared" si="10"/>
        <v>6</v>
      </c>
      <c r="B140" s="104">
        <f t="shared" si="9"/>
        <v>7.0000000000000007E-2</v>
      </c>
      <c r="C140" s="104">
        <f t="shared" si="9"/>
        <v>7.0000000000000007E-2</v>
      </c>
    </row>
    <row r="141" spans="1:3" x14ac:dyDescent="0.15">
      <c r="A141" s="9">
        <f t="shared" si="10"/>
        <v>7</v>
      </c>
      <c r="B141" s="104">
        <f t="shared" si="9"/>
        <v>7.0000000000000007E-2</v>
      </c>
      <c r="C141" s="104">
        <f t="shared" si="9"/>
        <v>7.0000000000000007E-2</v>
      </c>
    </row>
    <row r="142" spans="1:3" x14ac:dyDescent="0.15">
      <c r="A142" s="9">
        <f t="shared" si="10"/>
        <v>8</v>
      </c>
      <c r="B142" s="104">
        <f t="shared" si="9"/>
        <v>7.0000000000000007E-2</v>
      </c>
      <c r="C142" s="104">
        <f t="shared" si="9"/>
        <v>7.0000000000000007E-2</v>
      </c>
    </row>
    <row r="143" spans="1:3" x14ac:dyDescent="0.15">
      <c r="A143" s="9">
        <f t="shared" si="10"/>
        <v>9</v>
      </c>
      <c r="B143" s="104">
        <f t="shared" si="9"/>
        <v>7.0000000000000007E-2</v>
      </c>
      <c r="C143" s="104">
        <f t="shared" si="9"/>
        <v>7.0000000000000007E-2</v>
      </c>
    </row>
    <row r="144" spans="1:3" x14ac:dyDescent="0.15">
      <c r="A144" s="9">
        <f t="shared" si="10"/>
        <v>10</v>
      </c>
      <c r="B144" s="104">
        <f>+B129+B143</f>
        <v>1.1500000000000001</v>
      </c>
      <c r="C144" s="104">
        <f>+C129+C143</f>
        <v>1.1500000000000001</v>
      </c>
    </row>
    <row r="146" spans="1:5" x14ac:dyDescent="0.15">
      <c r="A146" s="9" t="s">
        <v>1056</v>
      </c>
      <c r="B146" s="202">
        <f>IRR(B134:B144)</f>
        <v>7.8521990352673043E-2</v>
      </c>
      <c r="C146" s="202">
        <f>IRR(C134:C144)</f>
        <v>7.4223990429296283E-2</v>
      </c>
    </row>
    <row r="148" spans="1:5" x14ac:dyDescent="0.15">
      <c r="A148" s="32" t="s">
        <v>1034</v>
      </c>
    </row>
    <row r="149" spans="1:5" x14ac:dyDescent="0.15">
      <c r="A149" s="9" t="s">
        <v>1077</v>
      </c>
      <c r="B149" s="104">
        <v>0.98</v>
      </c>
      <c r="D149" s="9" t="s">
        <v>1082</v>
      </c>
      <c r="E149" s="162">
        <v>3.5000000000000001E-3</v>
      </c>
    </row>
    <row r="150" spans="1:5" x14ac:dyDescent="0.15">
      <c r="A150" s="9" t="s">
        <v>1078</v>
      </c>
      <c r="B150" s="104">
        <v>1.08</v>
      </c>
      <c r="D150" s="9" t="s">
        <v>1080</v>
      </c>
      <c r="E150" s="162">
        <v>2.5000000000000001E-2</v>
      </c>
    </row>
    <row r="151" spans="1:5" x14ac:dyDescent="0.15">
      <c r="A151" s="9" t="s">
        <v>1079</v>
      </c>
      <c r="B151" s="104">
        <v>7.0000000000000007E-2</v>
      </c>
      <c r="D151" s="9" t="s">
        <v>1081</v>
      </c>
      <c r="E151" s="162">
        <v>6.0000000000000001E-3</v>
      </c>
    </row>
    <row r="152" spans="1:5" x14ac:dyDescent="0.15">
      <c r="A152" s="9" t="s">
        <v>1058</v>
      </c>
      <c r="B152" s="25">
        <v>10</v>
      </c>
    </row>
    <row r="154" spans="1:5" ht="15" x14ac:dyDescent="0.15">
      <c r="A154" s="107" t="s">
        <v>801</v>
      </c>
      <c r="B154" s="107" t="s">
        <v>1084</v>
      </c>
      <c r="C154" s="107" t="s">
        <v>1083</v>
      </c>
    </row>
    <row r="155" spans="1:5" x14ac:dyDescent="0.15">
      <c r="A155" s="9">
        <v>0</v>
      </c>
      <c r="B155" s="104">
        <f>-B149</f>
        <v>-0.98</v>
      </c>
      <c r="C155" s="202">
        <f>B155*(1-E149)</f>
        <v>-0.97657000000000005</v>
      </c>
    </row>
    <row r="156" spans="1:5" x14ac:dyDescent="0.15">
      <c r="A156" s="9">
        <v>1</v>
      </c>
      <c r="B156" s="104">
        <f>B$151</f>
        <v>7.0000000000000007E-2</v>
      </c>
      <c r="C156" s="162">
        <f>B156*(1+E$150)</f>
        <v>7.1749999999999994E-2</v>
      </c>
    </row>
    <row r="157" spans="1:5" x14ac:dyDescent="0.15">
      <c r="A157" s="9">
        <f>A156+1</f>
        <v>2</v>
      </c>
      <c r="B157" s="104">
        <f t="shared" ref="B157:B165" si="11">B$151</f>
        <v>7.0000000000000007E-2</v>
      </c>
      <c r="C157" s="162">
        <f t="shared" ref="C157:C165" si="12">B157*(1+E$150)</f>
        <v>7.1749999999999994E-2</v>
      </c>
    </row>
    <row r="158" spans="1:5" x14ac:dyDescent="0.15">
      <c r="A158" s="9">
        <f t="shared" ref="A158:A165" si="13">A157+1</f>
        <v>3</v>
      </c>
      <c r="B158" s="104">
        <f t="shared" si="11"/>
        <v>7.0000000000000007E-2</v>
      </c>
      <c r="C158" s="162">
        <f t="shared" si="12"/>
        <v>7.1749999999999994E-2</v>
      </c>
    </row>
    <row r="159" spans="1:5" x14ac:dyDescent="0.15">
      <c r="A159" s="9">
        <f t="shared" si="13"/>
        <v>4</v>
      </c>
      <c r="B159" s="104">
        <f t="shared" si="11"/>
        <v>7.0000000000000007E-2</v>
      </c>
      <c r="C159" s="162">
        <f t="shared" si="12"/>
        <v>7.1749999999999994E-2</v>
      </c>
    </row>
    <row r="160" spans="1:5" x14ac:dyDescent="0.15">
      <c r="A160" s="9">
        <f t="shared" si="13"/>
        <v>5</v>
      </c>
      <c r="B160" s="104">
        <f t="shared" si="11"/>
        <v>7.0000000000000007E-2</v>
      </c>
      <c r="C160" s="162">
        <f t="shared" si="12"/>
        <v>7.1749999999999994E-2</v>
      </c>
    </row>
    <row r="161" spans="1:3" x14ac:dyDescent="0.15">
      <c r="A161" s="9">
        <f t="shared" si="13"/>
        <v>6</v>
      </c>
      <c r="B161" s="104">
        <f t="shared" si="11"/>
        <v>7.0000000000000007E-2</v>
      </c>
      <c r="C161" s="162">
        <f t="shared" si="12"/>
        <v>7.1749999999999994E-2</v>
      </c>
    </row>
    <row r="162" spans="1:3" x14ac:dyDescent="0.15">
      <c r="A162" s="9">
        <f t="shared" si="13"/>
        <v>7</v>
      </c>
      <c r="B162" s="104">
        <f t="shared" si="11"/>
        <v>7.0000000000000007E-2</v>
      </c>
      <c r="C162" s="162">
        <f t="shared" si="12"/>
        <v>7.1749999999999994E-2</v>
      </c>
    </row>
    <row r="163" spans="1:3" x14ac:dyDescent="0.15">
      <c r="A163" s="9">
        <f t="shared" si="13"/>
        <v>8</v>
      </c>
      <c r="B163" s="104">
        <f t="shared" si="11"/>
        <v>7.0000000000000007E-2</v>
      </c>
      <c r="C163" s="162">
        <f t="shared" si="12"/>
        <v>7.1749999999999994E-2</v>
      </c>
    </row>
    <row r="164" spans="1:3" x14ac:dyDescent="0.15">
      <c r="A164" s="9">
        <f t="shared" si="13"/>
        <v>9</v>
      </c>
      <c r="B164" s="104">
        <f t="shared" si="11"/>
        <v>7.0000000000000007E-2</v>
      </c>
      <c r="C164" s="162">
        <f t="shared" si="12"/>
        <v>7.1749999999999994E-2</v>
      </c>
    </row>
    <row r="165" spans="1:3" x14ac:dyDescent="0.15">
      <c r="A165" s="9">
        <f t="shared" si="13"/>
        <v>10</v>
      </c>
      <c r="B165" s="104">
        <f t="shared" si="11"/>
        <v>7.0000000000000007E-2</v>
      </c>
      <c r="C165" s="162">
        <f t="shared" si="12"/>
        <v>7.1749999999999994E-2</v>
      </c>
    </row>
    <row r="166" spans="1:3" x14ac:dyDescent="0.15">
      <c r="A166" s="9">
        <v>10</v>
      </c>
      <c r="B166" s="104">
        <f>B150</f>
        <v>1.08</v>
      </c>
      <c r="C166" s="162">
        <f>B166*(1+E151)</f>
        <v>1.0864800000000001</v>
      </c>
    </row>
    <row r="169" spans="1:3" x14ac:dyDescent="0.15">
      <c r="A169" s="9" t="s">
        <v>1056</v>
      </c>
      <c r="B169" s="202">
        <v>7.83922382659549E-2</v>
      </c>
      <c r="C169" s="202">
        <v>8.1170694975811628E-2</v>
      </c>
    </row>
    <row r="171" spans="1:3" x14ac:dyDescent="0.15">
      <c r="A171" s="32" t="s">
        <v>1035</v>
      </c>
      <c r="B171" s="121" t="s">
        <v>798</v>
      </c>
    </row>
    <row r="172" spans="1:3" x14ac:dyDescent="0.15">
      <c r="A172" s="9" t="s">
        <v>1085</v>
      </c>
      <c r="B172" s="9">
        <v>300</v>
      </c>
    </row>
    <row r="173" spans="1:3" x14ac:dyDescent="0.15">
      <c r="A173" s="9" t="s">
        <v>802</v>
      </c>
      <c r="B173" s="9">
        <v>100</v>
      </c>
    </row>
    <row r="174" spans="1:3" x14ac:dyDescent="0.15">
      <c r="A174" s="9" t="s">
        <v>1086</v>
      </c>
      <c r="B174" s="9">
        <v>11</v>
      </c>
    </row>
    <row r="175" spans="1:3" x14ac:dyDescent="0.15">
      <c r="A175" s="9" t="s">
        <v>1088</v>
      </c>
      <c r="B175" s="9">
        <v>20</v>
      </c>
    </row>
    <row r="177" spans="1:7" ht="45" x14ac:dyDescent="0.15">
      <c r="A177" s="107" t="s">
        <v>1087</v>
      </c>
      <c r="B177" s="107" t="s">
        <v>1060</v>
      </c>
      <c r="C177" s="207" t="s">
        <v>1172</v>
      </c>
      <c r="D177" s="27" t="s">
        <v>1171</v>
      </c>
      <c r="F177" s="208">
        <v>9.2540254091218899E-3</v>
      </c>
      <c r="G177" s="9" t="s">
        <v>1173</v>
      </c>
    </row>
    <row r="178" spans="1:7" x14ac:dyDescent="0.15">
      <c r="A178" s="121">
        <v>0</v>
      </c>
      <c r="B178" s="9">
        <f>B173</f>
        <v>100</v>
      </c>
      <c r="C178" s="31">
        <f>B172-B178</f>
        <v>200</v>
      </c>
    </row>
    <row r="179" spans="1:7" x14ac:dyDescent="0.15">
      <c r="A179" s="121">
        <f>A178+1</f>
        <v>1</v>
      </c>
      <c r="B179" s="9">
        <f>B$174</f>
        <v>11</v>
      </c>
      <c r="C179" s="31">
        <f t="shared" ref="C179:C198" si="14">C178-B179+D179</f>
        <v>190.85080508182438</v>
      </c>
      <c r="D179" s="31">
        <f>C178*$F$177</f>
        <v>1.850805081824378</v>
      </c>
    </row>
    <row r="180" spans="1:7" x14ac:dyDescent="0.15">
      <c r="A180" s="121">
        <f t="shared" ref="A180:A198" si="15">A179+1</f>
        <v>2</v>
      </c>
      <c r="B180" s="9">
        <f t="shared" ref="B180:B198" si="16">B$174</f>
        <v>11</v>
      </c>
      <c r="C180" s="31">
        <f t="shared" si="14"/>
        <v>181.61694328140294</v>
      </c>
      <c r="D180" s="31">
        <f t="shared" ref="D180:D198" si="17">C179*$F$177</f>
        <v>1.7661381995785719</v>
      </c>
    </row>
    <row r="181" spans="1:7" x14ac:dyDescent="0.15">
      <c r="A181" s="121">
        <f t="shared" si="15"/>
        <v>3</v>
      </c>
      <c r="B181" s="9">
        <f t="shared" si="16"/>
        <v>11</v>
      </c>
      <c r="C181" s="31">
        <f t="shared" si="14"/>
        <v>172.2976310892561</v>
      </c>
      <c r="D181" s="31">
        <f t="shared" si="17"/>
        <v>1.680687807853152</v>
      </c>
    </row>
    <row r="182" spans="1:7" x14ac:dyDescent="0.15">
      <c r="A182" s="121">
        <f t="shared" si="15"/>
        <v>4</v>
      </c>
      <c r="B182" s="9">
        <f t="shared" si="16"/>
        <v>11</v>
      </c>
      <c r="C182" s="31">
        <f t="shared" si="14"/>
        <v>162.89207774528759</v>
      </c>
      <c r="D182" s="31">
        <f t="shared" si="17"/>
        <v>1.5944466560314856</v>
      </c>
    </row>
    <row r="183" spans="1:7" x14ac:dyDescent="0.15">
      <c r="A183" s="121">
        <f t="shared" si="15"/>
        <v>5</v>
      </c>
      <c r="B183" s="9">
        <f t="shared" si="16"/>
        <v>11</v>
      </c>
      <c r="C183" s="31">
        <f t="shared" si="14"/>
        <v>153.39948517168713</v>
      </c>
      <c r="D183" s="31">
        <f t="shared" si="17"/>
        <v>1.5074074263995498</v>
      </c>
    </row>
    <row r="184" spans="1:7" x14ac:dyDescent="0.15">
      <c r="A184" s="121">
        <f t="shared" si="15"/>
        <v>6</v>
      </c>
      <c r="B184" s="9">
        <f t="shared" si="16"/>
        <v>11</v>
      </c>
      <c r="C184" s="31">
        <f t="shared" si="14"/>
        <v>143.81904790521213</v>
      </c>
      <c r="D184" s="31">
        <f t="shared" si="17"/>
        <v>1.4195627335250094</v>
      </c>
    </row>
    <row r="185" spans="1:7" x14ac:dyDescent="0.15">
      <c r="A185" s="121">
        <f t="shared" si="15"/>
        <v>7</v>
      </c>
      <c r="B185" s="9">
        <f t="shared" si="16"/>
        <v>11</v>
      </c>
      <c r="C185" s="31">
        <f t="shared" si="14"/>
        <v>134.14995302884267</v>
      </c>
      <c r="D185" s="31">
        <f t="shared" si="17"/>
        <v>1.3309051236305514</v>
      </c>
    </row>
    <row r="186" spans="1:7" x14ac:dyDescent="0.15">
      <c r="A186" s="121">
        <f t="shared" si="15"/>
        <v>8</v>
      </c>
      <c r="B186" s="9">
        <f t="shared" si="16"/>
        <v>11</v>
      </c>
      <c r="C186" s="31">
        <f t="shared" si="14"/>
        <v>124.39138010280409</v>
      </c>
      <c r="D186" s="31">
        <f t="shared" si="17"/>
        <v>1.2414270739614182</v>
      </c>
    </row>
    <row r="187" spans="1:7" x14ac:dyDescent="0.15">
      <c r="A187" s="121">
        <f t="shared" si="15"/>
        <v>9</v>
      </c>
      <c r="B187" s="9">
        <f t="shared" si="16"/>
        <v>11</v>
      </c>
      <c r="C187" s="31">
        <f t="shared" si="14"/>
        <v>114.54250109495118</v>
      </c>
      <c r="D187" s="31">
        <f t="shared" si="17"/>
        <v>1.1511209921470882</v>
      </c>
    </row>
    <row r="188" spans="1:7" x14ac:dyDescent="0.15">
      <c r="A188" s="121">
        <f t="shared" si="15"/>
        <v>10</v>
      </c>
      <c r="B188" s="9">
        <f t="shared" si="16"/>
        <v>11</v>
      </c>
      <c r="C188" s="31">
        <f t="shared" si="14"/>
        <v>104.60248031050823</v>
      </c>
      <c r="D188" s="31">
        <f t="shared" si="17"/>
        <v>1.05997921555705</v>
      </c>
    </row>
    <row r="189" spans="1:7" x14ac:dyDescent="0.15">
      <c r="A189" s="121">
        <f t="shared" si="15"/>
        <v>11</v>
      </c>
      <c r="B189" s="9">
        <f t="shared" si="16"/>
        <v>11</v>
      </c>
      <c r="C189" s="31">
        <f t="shared" si="14"/>
        <v>94.570474321158841</v>
      </c>
      <c r="D189" s="31">
        <f t="shared" si="17"/>
        <v>0.9679940106506153</v>
      </c>
    </row>
    <row r="190" spans="1:7" x14ac:dyDescent="0.15">
      <c r="A190" s="121">
        <f t="shared" si="15"/>
        <v>12</v>
      </c>
      <c r="B190" s="9">
        <f t="shared" si="16"/>
        <v>11</v>
      </c>
      <c r="C190" s="31">
        <f t="shared" si="14"/>
        <v>84.445631893479558</v>
      </c>
      <c r="D190" s="31">
        <f t="shared" si="17"/>
        <v>0.87515757232071312</v>
      </c>
    </row>
    <row r="191" spans="1:7" x14ac:dyDescent="0.15">
      <c r="A191" s="121">
        <f t="shared" si="15"/>
        <v>13</v>
      </c>
      <c r="B191" s="9">
        <f t="shared" si="16"/>
        <v>11</v>
      </c>
      <c r="C191" s="31">
        <f t="shared" si="14"/>
        <v>74.227093916711169</v>
      </c>
      <c r="D191" s="31">
        <f t="shared" si="17"/>
        <v>0.78146202323161373</v>
      </c>
    </row>
    <row r="192" spans="1:7" x14ac:dyDescent="0.15">
      <c r="A192" s="121">
        <f t="shared" si="15"/>
        <v>14</v>
      </c>
      <c r="B192" s="9">
        <f t="shared" si="16"/>
        <v>11</v>
      </c>
      <c r="C192" s="31">
        <f t="shared" si="14"/>
        <v>63.91399332986169</v>
      </c>
      <c r="D192" s="31">
        <f t="shared" si="17"/>
        <v>0.68689941315052205</v>
      </c>
    </row>
    <row r="193" spans="1:6" x14ac:dyDescent="0.15">
      <c r="A193" s="121">
        <f t="shared" si="15"/>
        <v>15</v>
      </c>
      <c r="B193" s="9">
        <f t="shared" si="16"/>
        <v>11</v>
      </c>
      <c r="C193" s="31">
        <f t="shared" si="14"/>
        <v>53.505455048134678</v>
      </c>
      <c r="D193" s="31">
        <f t="shared" si="17"/>
        <v>0.5914617182729871</v>
      </c>
    </row>
    <row r="194" spans="1:6" x14ac:dyDescent="0.15">
      <c r="A194" s="121">
        <f t="shared" si="15"/>
        <v>16</v>
      </c>
      <c r="B194" s="9">
        <f t="shared" si="16"/>
        <v>11</v>
      </c>
      <c r="C194" s="31">
        <f t="shared" si="14"/>
        <v>43.000595888676749</v>
      </c>
      <c r="D194" s="31">
        <f t="shared" si="17"/>
        <v>0.49514084054206742</v>
      </c>
    </row>
    <row r="195" spans="1:6" x14ac:dyDescent="0.15">
      <c r="A195" s="121">
        <f t="shared" si="15"/>
        <v>17</v>
      </c>
      <c r="B195" s="9">
        <f t="shared" si="16"/>
        <v>11</v>
      </c>
      <c r="C195" s="31">
        <f t="shared" si="14"/>
        <v>32.398524495637943</v>
      </c>
      <c r="D195" s="31">
        <f t="shared" si="17"/>
        <v>0.39792860696119692</v>
      </c>
    </row>
    <row r="196" spans="1:6" x14ac:dyDescent="0.15">
      <c r="A196" s="121">
        <f t="shared" si="15"/>
        <v>18</v>
      </c>
      <c r="B196" s="9">
        <f t="shared" si="16"/>
        <v>11</v>
      </c>
      <c r="C196" s="31">
        <f t="shared" si="14"/>
        <v>21.698341264538634</v>
      </c>
      <c r="D196" s="31">
        <f t="shared" si="17"/>
        <v>0.29981676890069148</v>
      </c>
    </row>
    <row r="197" spans="1:6" x14ac:dyDescent="0.15">
      <c r="A197" s="121">
        <f t="shared" si="15"/>
        <v>19</v>
      </c>
      <c r="B197" s="9">
        <f t="shared" si="16"/>
        <v>11</v>
      </c>
      <c r="C197" s="31">
        <f t="shared" si="14"/>
        <v>10.899138265936472</v>
      </c>
      <c r="D197" s="31">
        <f t="shared" si="17"/>
        <v>0.20079700139783851</v>
      </c>
    </row>
    <row r="198" spans="1:6" x14ac:dyDescent="0.15">
      <c r="A198" s="121">
        <f t="shared" si="15"/>
        <v>20</v>
      </c>
      <c r="B198" s="9">
        <f t="shared" si="16"/>
        <v>11</v>
      </c>
      <c r="C198" s="31">
        <f t="shared" si="14"/>
        <v>-8.3161301947520805E-7</v>
      </c>
      <c r="D198" s="31">
        <f t="shared" si="17"/>
        <v>0.1008609024505088</v>
      </c>
    </row>
    <row r="199" spans="1:6" x14ac:dyDescent="0.15">
      <c r="A199" s="121"/>
      <c r="D199" s="209"/>
      <c r="F199" s="31"/>
    </row>
    <row r="200" spans="1:6" x14ac:dyDescent="0.15">
      <c r="B200" s="25"/>
    </row>
    <row r="201" spans="1:6" x14ac:dyDescent="0.15">
      <c r="A201" s="9" t="s">
        <v>1091</v>
      </c>
      <c r="B201" s="210">
        <v>9.2539752643311431E-3</v>
      </c>
    </row>
    <row r="202" spans="1:6" x14ac:dyDescent="0.15">
      <c r="A202" s="9" t="s">
        <v>1089</v>
      </c>
      <c r="B202" s="202">
        <f>POWER(1+B201,12)-1</f>
        <v>0.11687771171787609</v>
      </c>
    </row>
    <row r="204" spans="1:6" x14ac:dyDescent="0.15">
      <c r="A204" s="32" t="s">
        <v>1036</v>
      </c>
    </row>
    <row r="205" spans="1:6" x14ac:dyDescent="0.15">
      <c r="A205" s="9" t="s">
        <v>1090</v>
      </c>
      <c r="B205" s="9">
        <v>1000</v>
      </c>
    </row>
    <row r="206" spans="1:6" x14ac:dyDescent="0.15">
      <c r="A206" s="9" t="s">
        <v>51</v>
      </c>
      <c r="B206" s="9">
        <v>1</v>
      </c>
      <c r="C206" s="9">
        <f>B206+1</f>
        <v>2</v>
      </c>
      <c r="D206" s="9">
        <f>C206+1</f>
        <v>3</v>
      </c>
      <c r="E206" s="9">
        <f>D206+1</f>
        <v>4</v>
      </c>
      <c r="F206" s="9">
        <f>E206+1</f>
        <v>5</v>
      </c>
    </row>
    <row r="207" spans="1:6" x14ac:dyDescent="0.15">
      <c r="A207" s="9" t="s">
        <v>1060</v>
      </c>
      <c r="B207" s="9">
        <v>232</v>
      </c>
      <c r="C207" s="9">
        <v>2088</v>
      </c>
      <c r="D207" s="9">
        <v>232</v>
      </c>
      <c r="E207" s="9">
        <v>-232</v>
      </c>
      <c r="F207" s="9">
        <v>-927</v>
      </c>
    </row>
    <row r="210" spans="1:3" x14ac:dyDescent="0.15">
      <c r="A210" s="9" t="s">
        <v>1056</v>
      </c>
      <c r="B210" s="202">
        <v>-0.15117585629634148</v>
      </c>
      <c r="C210" s="202">
        <v>0.48276342694261498</v>
      </c>
    </row>
  </sheetData>
  <mergeCells count="3">
    <mergeCell ref="B64:C64"/>
    <mergeCell ref="B65:C65"/>
    <mergeCell ref="B63:C63"/>
  </mergeCells>
  <phoneticPr fontId="4" type="noConversion"/>
  <pageMargins left="0.7" right="0.7" top="0.75" bottom="0.75" header="0.3" footer="0.3"/>
  <pageSetup paperSize="9" scale="48" fitToHeight="0" orientation="portrait" r:id="rId1"/>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01"/>
  <sheetViews>
    <sheetView showGridLines="0" workbookViewId="0">
      <selection activeCell="C20" sqref="C20"/>
    </sheetView>
  </sheetViews>
  <sheetFormatPr baseColWidth="10" defaultColWidth="10.6640625" defaultRowHeight="14" x14ac:dyDescent="0.15"/>
  <cols>
    <col min="1" max="1" width="16.83203125" style="9" customWidth="1"/>
    <col min="2" max="16384" width="10.6640625" style="9"/>
  </cols>
  <sheetData>
    <row r="1" spans="1:14" x14ac:dyDescent="0.15">
      <c r="A1" s="32" t="s">
        <v>7</v>
      </c>
    </row>
    <row r="2" spans="1:14" x14ac:dyDescent="0.15">
      <c r="A2" s="9" t="s">
        <v>43</v>
      </c>
      <c r="B2" s="212">
        <v>40179</v>
      </c>
      <c r="C2" s="212">
        <f>B2+31</f>
        <v>40210</v>
      </c>
      <c r="D2" s="212">
        <f t="shared" ref="D2:N2" si="0">C2+31</f>
        <v>40241</v>
      </c>
      <c r="E2" s="212">
        <f t="shared" si="0"/>
        <v>40272</v>
      </c>
      <c r="F2" s="212">
        <f t="shared" si="0"/>
        <v>40303</v>
      </c>
      <c r="G2" s="212">
        <f t="shared" si="0"/>
        <v>40334</v>
      </c>
      <c r="H2" s="212">
        <f t="shared" si="0"/>
        <v>40365</v>
      </c>
      <c r="I2" s="212">
        <f t="shared" si="0"/>
        <v>40396</v>
      </c>
      <c r="J2" s="212">
        <f t="shared" si="0"/>
        <v>40427</v>
      </c>
      <c r="K2" s="212">
        <f t="shared" si="0"/>
        <v>40458</v>
      </c>
      <c r="L2" s="212">
        <f t="shared" si="0"/>
        <v>40489</v>
      </c>
      <c r="M2" s="212">
        <f t="shared" si="0"/>
        <v>40520</v>
      </c>
      <c r="N2" s="212">
        <f t="shared" si="0"/>
        <v>40551</v>
      </c>
    </row>
    <row r="3" spans="1:14" x14ac:dyDescent="0.15">
      <c r="A3" s="9" t="s">
        <v>8</v>
      </c>
      <c r="B3" s="24">
        <v>16.93</v>
      </c>
      <c r="C3" s="24">
        <v>16.57</v>
      </c>
      <c r="D3" s="24">
        <v>17.37</v>
      </c>
      <c r="E3" s="24">
        <v>16.86</v>
      </c>
      <c r="F3" s="24">
        <v>15.2</v>
      </c>
      <c r="G3" s="24">
        <v>15.19</v>
      </c>
      <c r="H3" s="24">
        <v>15.69</v>
      </c>
      <c r="I3" s="24">
        <v>15.67</v>
      </c>
      <c r="J3" s="24">
        <v>15.83</v>
      </c>
      <c r="K3" s="24">
        <v>16.190000000000001</v>
      </c>
      <c r="L3" s="24">
        <v>15.5</v>
      </c>
      <c r="M3" s="24">
        <v>16.34</v>
      </c>
      <c r="N3" s="24">
        <v>17.3</v>
      </c>
    </row>
    <row r="4" spans="1:14" x14ac:dyDescent="0.15">
      <c r="A4" s="9" t="s">
        <v>53</v>
      </c>
      <c r="B4" s="9">
        <v>21896</v>
      </c>
      <c r="C4" s="9">
        <v>21068</v>
      </c>
      <c r="D4" s="9">
        <v>22847</v>
      </c>
      <c r="E4" s="9">
        <v>21562</v>
      </c>
      <c r="F4" s="9">
        <v>19543</v>
      </c>
      <c r="G4" s="9">
        <v>19311</v>
      </c>
      <c r="H4" s="9">
        <v>21021</v>
      </c>
      <c r="I4" s="9">
        <v>19734</v>
      </c>
      <c r="J4" s="9">
        <v>20505</v>
      </c>
      <c r="K4" s="9">
        <v>21450</v>
      </c>
      <c r="L4" s="9">
        <v>19105</v>
      </c>
      <c r="M4" s="9">
        <v>20173</v>
      </c>
      <c r="N4" s="9">
        <v>22050</v>
      </c>
    </row>
    <row r="6" spans="1:14" x14ac:dyDescent="0.15">
      <c r="A6" s="9" t="s">
        <v>9</v>
      </c>
      <c r="B6" s="123">
        <f>N3/B3-1</f>
        <v>2.1854695806261093E-2</v>
      </c>
    </row>
    <row r="7" spans="1:14" x14ac:dyDescent="0.15">
      <c r="A7" s="9" t="s">
        <v>54</v>
      </c>
      <c r="B7" s="123">
        <f>N4/B4-1</f>
        <v>7.033248081841359E-3</v>
      </c>
    </row>
    <row r="9" spans="1:14" x14ac:dyDescent="0.15">
      <c r="A9" s="26" t="s">
        <v>55</v>
      </c>
    </row>
    <row r="10" spans="1:14" x14ac:dyDescent="0.15">
      <c r="A10" s="35" t="s">
        <v>13</v>
      </c>
      <c r="B10" s="202"/>
      <c r="C10" s="202">
        <f>(C3-B3)/B3</f>
        <v>-2.1264028352037768E-2</v>
      </c>
      <c r="D10" s="202">
        <f t="shared" ref="D10:N11" si="1">(D3-C3)/C3</f>
        <v>4.8280024140012111E-2</v>
      </c>
      <c r="E10" s="202">
        <f t="shared" si="1"/>
        <v>-2.9360967184801471E-2</v>
      </c>
      <c r="F10" s="202">
        <f t="shared" si="1"/>
        <v>-9.8457888493475698E-2</v>
      </c>
      <c r="G10" s="202">
        <f t="shared" si="1"/>
        <v>-6.5789473684209126E-4</v>
      </c>
      <c r="H10" s="202">
        <f t="shared" si="1"/>
        <v>3.2916392363396975E-2</v>
      </c>
      <c r="I10" s="202">
        <f t="shared" si="1"/>
        <v>-1.2746972594008651E-3</v>
      </c>
      <c r="J10" s="202">
        <f t="shared" si="1"/>
        <v>1.0210593490746659E-2</v>
      </c>
      <c r="K10" s="202">
        <f t="shared" si="1"/>
        <v>2.2741629816803614E-2</v>
      </c>
      <c r="L10" s="202">
        <f t="shared" si="1"/>
        <v>-4.261890055589878E-2</v>
      </c>
      <c r="M10" s="202">
        <f t="shared" si="1"/>
        <v>5.4193548387096765E-2</v>
      </c>
      <c r="N10" s="202">
        <f t="shared" si="1"/>
        <v>5.8751529987760148E-2</v>
      </c>
    </row>
    <row r="11" spans="1:14" x14ac:dyDescent="0.15">
      <c r="A11" s="35" t="s">
        <v>56</v>
      </c>
      <c r="B11" s="202"/>
      <c r="C11" s="202">
        <f>(C4-B4)/B4</f>
        <v>-3.7815126050420166E-2</v>
      </c>
      <c r="D11" s="202">
        <f t="shared" si="1"/>
        <v>8.444085817353332E-2</v>
      </c>
      <c r="E11" s="202">
        <f t="shared" si="1"/>
        <v>-5.6243708145489561E-2</v>
      </c>
      <c r="F11" s="202">
        <f t="shared" si="1"/>
        <v>-9.3636953900380293E-2</v>
      </c>
      <c r="G11" s="202">
        <f t="shared" si="1"/>
        <v>-1.1871258251036177E-2</v>
      </c>
      <c r="H11" s="202">
        <f t="shared" si="1"/>
        <v>8.8550567034332769E-2</v>
      </c>
      <c r="I11" s="202">
        <f t="shared" si="1"/>
        <v>-6.1224489795918366E-2</v>
      </c>
      <c r="J11" s="202">
        <f t="shared" si="1"/>
        <v>3.9069626026147768E-2</v>
      </c>
      <c r="K11" s="202">
        <f t="shared" si="1"/>
        <v>4.6086320409656184E-2</v>
      </c>
      <c r="L11" s="202">
        <f t="shared" si="1"/>
        <v>-0.10932400932400932</v>
      </c>
      <c r="M11" s="202">
        <f t="shared" si="1"/>
        <v>5.5901596440722325E-2</v>
      </c>
      <c r="N11" s="202">
        <f t="shared" si="1"/>
        <v>9.3045159371437064E-2</v>
      </c>
    </row>
    <row r="13" spans="1:14" x14ac:dyDescent="0.15">
      <c r="A13" s="9" t="s">
        <v>10</v>
      </c>
      <c r="B13" s="213">
        <f>STDEV(C10:N10)</f>
        <v>4.5883138148476423E-2</v>
      </c>
    </row>
    <row r="14" spans="1:14" x14ac:dyDescent="0.15">
      <c r="A14" s="9" t="s">
        <v>811</v>
      </c>
      <c r="B14" s="16">
        <f>LINEST(C10:N10,C11:N11,TRUE,FALSE)</f>
        <v>0.55891666001026519</v>
      </c>
    </row>
    <row r="15" spans="1:14" x14ac:dyDescent="0.15">
      <c r="A15" s="216" t="s">
        <v>57</v>
      </c>
    </row>
    <row r="16" spans="1:14" x14ac:dyDescent="0.15">
      <c r="C16" s="9">
        <f>(C10-AVERAGE($C10:$N10))*(C$11-AVERAGE($C$11:$N$11))</f>
        <v>9.83659364139958E-4</v>
      </c>
      <c r="D16" s="9">
        <f t="shared" ref="D16:N17" si="2">(D10-AVERAGE($C10:$N10))*(D$11-AVERAGE($C$11:$N$11))</f>
        <v>3.7011770238478637E-3</v>
      </c>
      <c r="E16" s="9">
        <f t="shared" si="2"/>
        <v>1.9072622492182383E-3</v>
      </c>
      <c r="F16" s="9">
        <f t="shared" si="2"/>
        <v>9.7923776420945213E-3</v>
      </c>
      <c r="G16" s="9">
        <f t="shared" si="2"/>
        <v>5.1529961943571132E-5</v>
      </c>
      <c r="H16" s="9">
        <f t="shared" si="2"/>
        <v>2.5750203250488862E-3</v>
      </c>
      <c r="I16" s="9">
        <f t="shared" si="2"/>
        <v>2.6127387265002084E-4</v>
      </c>
      <c r="J16" s="9">
        <f t="shared" si="2"/>
        <v>2.6711484850707297E-4</v>
      </c>
      <c r="K16" s="9">
        <f t="shared" si="2"/>
        <v>8.5808932365282625E-4</v>
      </c>
      <c r="L16" s="9">
        <f t="shared" si="2"/>
        <v>5.1040192872343635E-3</v>
      </c>
      <c r="M16" s="9">
        <f t="shared" si="2"/>
        <v>2.715228821637041E-3</v>
      </c>
      <c r="N16" s="9">
        <f t="shared" si="2"/>
        <v>5.0346561829721047E-3</v>
      </c>
    </row>
    <row r="17" spans="1:14" x14ac:dyDescent="0.15">
      <c r="C17" s="9">
        <f>(C11-AVERAGE($C11:$N11))*(C$11-AVERAGE($C$11:$N$11))</f>
        <v>1.6725379892051139E-3</v>
      </c>
      <c r="D17" s="9">
        <f t="shared" si="2"/>
        <v>6.6193372707088072E-3</v>
      </c>
      <c r="E17" s="9">
        <f t="shared" si="2"/>
        <v>3.5194860759402433E-3</v>
      </c>
      <c r="F17" s="9">
        <f t="shared" si="2"/>
        <v>9.3544687063882078E-3</v>
      </c>
      <c r="G17" s="9">
        <f t="shared" si="2"/>
        <v>2.235864297053618E-4</v>
      </c>
      <c r="H17" s="9">
        <f t="shared" si="2"/>
        <v>7.3049531293848582E-3</v>
      </c>
      <c r="I17" s="9">
        <f t="shared" si="2"/>
        <v>4.1352665611936752E-3</v>
      </c>
      <c r="J17" s="9">
        <f t="shared" si="2"/>
        <v>1.2951417240965463E-3</v>
      </c>
      <c r="K17" s="9">
        <f t="shared" si="2"/>
        <v>1.8494104070834383E-3</v>
      </c>
      <c r="L17" s="9">
        <f t="shared" si="2"/>
        <v>1.2635009429512673E-2</v>
      </c>
      <c r="M17" s="9">
        <f t="shared" si="2"/>
        <v>2.7899574645607783E-3</v>
      </c>
      <c r="N17" s="9">
        <f t="shared" si="2"/>
        <v>8.0934512811986475E-3</v>
      </c>
    </row>
    <row r="18" spans="1:14" x14ac:dyDescent="0.15">
      <c r="A18" s="9" t="s">
        <v>811</v>
      </c>
      <c r="B18" s="16">
        <f>SUM(C16:N16)/SUM(C17:N17)</f>
        <v>0.55891666001026497</v>
      </c>
    </row>
    <row r="19" spans="1:14" x14ac:dyDescent="0.15">
      <c r="A19" s="9" t="s">
        <v>58</v>
      </c>
    </row>
    <row r="20" spans="1:14" x14ac:dyDescent="0.15">
      <c r="B20" s="213">
        <f>STDEV(B11:N11)</f>
        <v>7.354195244829391E-2</v>
      </c>
    </row>
    <row r="21" spans="1:14" x14ac:dyDescent="0.15">
      <c r="B21" s="202"/>
    </row>
    <row r="22" spans="1:14" x14ac:dyDescent="0.15">
      <c r="A22" s="9" t="s">
        <v>11</v>
      </c>
      <c r="B22" s="202">
        <f>B18*B20</f>
        <v>4.1103822433034162E-2</v>
      </c>
    </row>
    <row r="23" spans="1:14" x14ac:dyDescent="0.15">
      <c r="A23" s="9" t="s">
        <v>12</v>
      </c>
      <c r="B23" s="202">
        <f>SQRT(B13*B13-B22*B22)</f>
        <v>2.0389657862400972E-2</v>
      </c>
    </row>
    <row r="25" spans="1:14" ht="30" x14ac:dyDescent="0.15">
      <c r="A25" s="12" t="s">
        <v>59</v>
      </c>
      <c r="B25" s="162">
        <f>B22/B13</f>
        <v>0.89583720930385058</v>
      </c>
    </row>
    <row r="28" spans="1:14" x14ac:dyDescent="0.15">
      <c r="A28" s="32" t="s">
        <v>974</v>
      </c>
    </row>
    <row r="29" spans="1:14" x14ac:dyDescent="0.15">
      <c r="A29" s="9" t="s">
        <v>61</v>
      </c>
      <c r="B29" s="164">
        <v>0.1</v>
      </c>
    </row>
    <row r="30" spans="1:14" x14ac:dyDescent="0.15">
      <c r="A30" s="9" t="s">
        <v>60</v>
      </c>
      <c r="B30" s="164">
        <v>0.18</v>
      </c>
    </row>
    <row r="33" spans="1:2" x14ac:dyDescent="0.15">
      <c r="A33" s="13" t="s">
        <v>1217</v>
      </c>
    </row>
    <row r="34" spans="1:2" ht="30" x14ac:dyDescent="0.15">
      <c r="A34" s="12" t="s">
        <v>62</v>
      </c>
      <c r="B34" s="164">
        <f>4/18</f>
        <v>0.22222222222222221</v>
      </c>
    </row>
    <row r="36" spans="1:2" x14ac:dyDescent="0.15">
      <c r="A36" s="9" t="s">
        <v>60</v>
      </c>
      <c r="B36" s="164">
        <f>(1-B34)*B30</f>
        <v>0.13999999999999999</v>
      </c>
    </row>
    <row r="37" spans="1:2" x14ac:dyDescent="0.15">
      <c r="B37" s="164"/>
    </row>
    <row r="39" spans="1:2" x14ac:dyDescent="0.15">
      <c r="A39" s="13" t="s">
        <v>1218</v>
      </c>
    </row>
    <row r="40" spans="1:2" ht="30" x14ac:dyDescent="0.15">
      <c r="A40" s="12" t="s">
        <v>63</v>
      </c>
      <c r="B40" s="164">
        <f>5/18</f>
        <v>0.27777777777777779</v>
      </c>
    </row>
    <row r="42" spans="1:2" x14ac:dyDescent="0.15">
      <c r="A42" s="9" t="s">
        <v>60</v>
      </c>
      <c r="B42" s="104">
        <f>B30*(1+B40)</f>
        <v>0.22999999999999998</v>
      </c>
    </row>
    <row r="44" spans="1:2" x14ac:dyDescent="0.15">
      <c r="A44" s="32" t="s">
        <v>984</v>
      </c>
    </row>
    <row r="45" spans="1:2" x14ac:dyDescent="0.15">
      <c r="A45" s="9" t="s">
        <v>14</v>
      </c>
      <c r="B45" s="123">
        <v>0.13</v>
      </c>
    </row>
    <row r="46" spans="1:2" x14ac:dyDescent="0.15">
      <c r="A46" s="9" t="s">
        <v>15</v>
      </c>
      <c r="B46" s="123">
        <v>0.17</v>
      </c>
    </row>
    <row r="47" spans="1:2" x14ac:dyDescent="0.15">
      <c r="A47" s="9" t="s">
        <v>18</v>
      </c>
      <c r="B47" s="123">
        <v>0.06</v>
      </c>
    </row>
    <row r="48" spans="1:2" x14ac:dyDescent="0.15">
      <c r="A48" s="9" t="s">
        <v>19</v>
      </c>
      <c r="B48" s="123">
        <v>0.1</v>
      </c>
    </row>
    <row r="49" spans="1:12" x14ac:dyDescent="0.15">
      <c r="A49" s="9" t="s">
        <v>20</v>
      </c>
      <c r="B49" s="25">
        <v>0.3</v>
      </c>
    </row>
    <row r="51" spans="1:12" x14ac:dyDescent="0.15">
      <c r="A51" s="9" t="s">
        <v>16</v>
      </c>
      <c r="B51" s="123">
        <v>0</v>
      </c>
      <c r="C51" s="123">
        <v>0.1</v>
      </c>
      <c r="D51" s="171">
        <f>B57</f>
        <v>0.1707317073170731</v>
      </c>
      <c r="E51" s="123">
        <v>0.3</v>
      </c>
      <c r="F51" s="123">
        <v>0.4</v>
      </c>
      <c r="G51" s="123">
        <v>0.5</v>
      </c>
      <c r="H51" s="123">
        <v>0.6</v>
      </c>
      <c r="I51" s="123">
        <v>0.7</v>
      </c>
      <c r="J51" s="123">
        <v>0.8</v>
      </c>
      <c r="K51" s="123">
        <v>0.9</v>
      </c>
      <c r="L51" s="123">
        <v>1</v>
      </c>
    </row>
    <row r="52" spans="1:12" x14ac:dyDescent="0.15">
      <c r="A52" s="9" t="s">
        <v>21</v>
      </c>
      <c r="B52" s="123">
        <f>1-B51</f>
        <v>1</v>
      </c>
      <c r="C52" s="123">
        <f t="shared" ref="C52:L52" si="3">1-C51</f>
        <v>0.9</v>
      </c>
      <c r="D52" s="171">
        <f t="shared" si="3"/>
        <v>0.8292682926829269</v>
      </c>
      <c r="E52" s="123">
        <f t="shared" si="3"/>
        <v>0.7</v>
      </c>
      <c r="F52" s="123">
        <f t="shared" si="3"/>
        <v>0.6</v>
      </c>
      <c r="G52" s="123">
        <f t="shared" si="3"/>
        <v>0.5</v>
      </c>
      <c r="H52" s="123">
        <f t="shared" si="3"/>
        <v>0.4</v>
      </c>
      <c r="I52" s="123">
        <f t="shared" si="3"/>
        <v>0.30000000000000004</v>
      </c>
      <c r="J52" s="123">
        <f t="shared" si="3"/>
        <v>0.19999999999999996</v>
      </c>
      <c r="K52" s="123">
        <f t="shared" si="3"/>
        <v>9.9999999999999978E-2</v>
      </c>
      <c r="L52" s="123">
        <f t="shared" si="3"/>
        <v>0</v>
      </c>
    </row>
    <row r="53" spans="1:12" x14ac:dyDescent="0.15">
      <c r="A53" s="9" t="s">
        <v>22</v>
      </c>
      <c r="B53" s="202">
        <f>SQRT(B52*B52*$B48*$B48+B51*B51*$B46*$B46+2*B51*B52*$B49*$B48*$B46)</f>
        <v>0.1</v>
      </c>
      <c r="C53" s="202">
        <f t="shared" ref="C53:L53" si="4">SQRT(C52*C52*$B48*$B48+C51*C51*$B46*$B46+2*C51*C52*$B49*$B48*$B46)</f>
        <v>9.6472794092427955E-2</v>
      </c>
      <c r="D53" s="214">
        <f t="shared" si="4"/>
        <v>9.57257260831504E-2</v>
      </c>
      <c r="E53" s="202">
        <f t="shared" si="4"/>
        <v>9.8198777996470005E-2</v>
      </c>
      <c r="F53" s="202">
        <f t="shared" si="4"/>
        <v>0.10330537256115968</v>
      </c>
      <c r="G53" s="202">
        <f t="shared" si="4"/>
        <v>0.1107925990308017</v>
      </c>
      <c r="H53" s="202">
        <f t="shared" si="4"/>
        <v>0.12021647141718976</v>
      </c>
      <c r="I53" s="202">
        <f t="shared" si="4"/>
        <v>0.13116020738013492</v>
      </c>
      <c r="J53" s="202">
        <f t="shared" si="4"/>
        <v>0.14327595750857858</v>
      </c>
      <c r="K53" s="202">
        <f t="shared" si="4"/>
        <v>0.15629139451678076</v>
      </c>
      <c r="L53" s="202">
        <f t="shared" si="4"/>
        <v>0.17</v>
      </c>
    </row>
    <row r="54" spans="1:12" x14ac:dyDescent="0.15">
      <c r="A54" s="9" t="s">
        <v>23</v>
      </c>
      <c r="B54" s="202">
        <f>B52*$B47+B51*$B45</f>
        <v>0.06</v>
      </c>
      <c r="C54" s="202">
        <f t="shared" ref="C54:L54" si="5">C52*$B47+C51*$B45</f>
        <v>6.7000000000000004E-2</v>
      </c>
      <c r="D54" s="214">
        <f t="shared" si="5"/>
        <v>7.1951219512195116E-2</v>
      </c>
      <c r="E54" s="202">
        <f t="shared" si="5"/>
        <v>8.0999999999999989E-2</v>
      </c>
      <c r="F54" s="202">
        <f t="shared" si="5"/>
        <v>8.7999999999999995E-2</v>
      </c>
      <c r="G54" s="202">
        <f t="shared" si="5"/>
        <v>9.5000000000000001E-2</v>
      </c>
      <c r="H54" s="202">
        <f t="shared" si="5"/>
        <v>0.10200000000000001</v>
      </c>
      <c r="I54" s="202">
        <f t="shared" si="5"/>
        <v>0.109</v>
      </c>
      <c r="J54" s="202">
        <f t="shared" si="5"/>
        <v>0.11600000000000001</v>
      </c>
      <c r="K54" s="202">
        <f t="shared" si="5"/>
        <v>0.123</v>
      </c>
      <c r="L54" s="202">
        <f t="shared" si="5"/>
        <v>0.13</v>
      </c>
    </row>
    <row r="56" spans="1:12" x14ac:dyDescent="0.15">
      <c r="A56" s="9" t="s">
        <v>24</v>
      </c>
      <c r="B56" s="123">
        <f>(B46*B46-B49*B48*B46)/(B48*B48+B46*B46-2*B49*B48*B46)</f>
        <v>0.8292682926829269</v>
      </c>
    </row>
    <row r="57" spans="1:12" x14ac:dyDescent="0.15">
      <c r="A57" s="9" t="s">
        <v>17</v>
      </c>
      <c r="B57" s="164">
        <f>1-B56</f>
        <v>0.1707317073170731</v>
      </c>
    </row>
    <row r="72" spans="1:8" x14ac:dyDescent="0.15">
      <c r="A72" s="32" t="s">
        <v>470</v>
      </c>
    </row>
    <row r="73" spans="1:8" x14ac:dyDescent="0.15">
      <c r="A73" s="9" t="s">
        <v>544</v>
      </c>
      <c r="B73" s="86" t="s">
        <v>500</v>
      </c>
      <c r="C73" s="86" t="s">
        <v>501</v>
      </c>
    </row>
    <row r="74" spans="1:8" x14ac:dyDescent="0.15">
      <c r="A74" s="9" t="s">
        <v>64</v>
      </c>
      <c r="B74" s="104">
        <v>0.1</v>
      </c>
      <c r="C74" s="104">
        <v>0.2</v>
      </c>
    </row>
    <row r="75" spans="1:8" x14ac:dyDescent="0.15">
      <c r="A75" s="9" t="s">
        <v>60</v>
      </c>
      <c r="B75" s="104">
        <v>0.15</v>
      </c>
      <c r="C75" s="104">
        <v>0.3</v>
      </c>
    </row>
    <row r="76" spans="1:8" x14ac:dyDescent="0.15">
      <c r="B76" s="104"/>
      <c r="C76" s="104"/>
    </row>
    <row r="77" spans="1:8" x14ac:dyDescent="0.15">
      <c r="A77" s="9" t="s">
        <v>807</v>
      </c>
      <c r="B77" s="104">
        <v>0.25</v>
      </c>
    </row>
    <row r="79" spans="1:8" x14ac:dyDescent="0.15">
      <c r="A79" s="9" t="s">
        <v>65</v>
      </c>
      <c r="C79" s="86" t="s">
        <v>812</v>
      </c>
      <c r="D79" s="86" t="s">
        <v>502</v>
      </c>
      <c r="E79" s="86" t="s">
        <v>811</v>
      </c>
      <c r="F79" s="86" t="s">
        <v>810</v>
      </c>
      <c r="G79" s="86" t="s">
        <v>809</v>
      </c>
      <c r="H79" s="86" t="s">
        <v>808</v>
      </c>
    </row>
    <row r="80" spans="1:8" x14ac:dyDescent="0.15">
      <c r="A80" s="9" t="s">
        <v>500</v>
      </c>
      <c r="B80" s="164">
        <v>2</v>
      </c>
      <c r="C80" s="164">
        <v>1</v>
      </c>
      <c r="D80" s="164">
        <f>(C75*C75-B77*B75*C75)/(B75*B75+C75*C75-2*B77*B75*C75)</f>
        <v>0.875</v>
      </c>
      <c r="E80" s="164">
        <v>0.75</v>
      </c>
      <c r="F80" s="164">
        <v>0.5</v>
      </c>
      <c r="G80" s="164">
        <v>0.25</v>
      </c>
      <c r="H80" s="164">
        <v>0</v>
      </c>
    </row>
    <row r="81" spans="1:8" x14ac:dyDescent="0.15">
      <c r="A81" s="9" t="s">
        <v>501</v>
      </c>
      <c r="B81" s="164">
        <f t="shared" ref="B81:H81" si="6">1-B80</f>
        <v>-1</v>
      </c>
      <c r="C81" s="164">
        <f t="shared" si="6"/>
        <v>0</v>
      </c>
      <c r="D81" s="164">
        <f t="shared" si="6"/>
        <v>0.125</v>
      </c>
      <c r="E81" s="164">
        <f t="shared" si="6"/>
        <v>0.25</v>
      </c>
      <c r="F81" s="164">
        <f t="shared" si="6"/>
        <v>0.5</v>
      </c>
      <c r="G81" s="164">
        <f t="shared" si="6"/>
        <v>0.75</v>
      </c>
      <c r="H81" s="164">
        <f t="shared" si="6"/>
        <v>1</v>
      </c>
    </row>
    <row r="82" spans="1:8" x14ac:dyDescent="0.15">
      <c r="A82" s="9" t="s">
        <v>60</v>
      </c>
      <c r="B82" s="202">
        <f t="shared" ref="B82:H82" si="7">SQRT(B80*B80*$B$75*$B$75+B81*B81*$C$75*$C$75+2*B80*B81*$B$77*$B$75*$C$75)</f>
        <v>0.36742346141747673</v>
      </c>
      <c r="C82" s="202">
        <f t="shared" si="7"/>
        <v>0.15</v>
      </c>
      <c r="D82" s="202">
        <f t="shared" si="7"/>
        <v>0.14523687548277814</v>
      </c>
      <c r="E82" s="202">
        <f t="shared" si="7"/>
        <v>0.15</v>
      </c>
      <c r="F82" s="202">
        <f t="shared" si="7"/>
        <v>0.18371173070873834</v>
      </c>
      <c r="G82" s="202">
        <f t="shared" si="7"/>
        <v>0.23717082451262844</v>
      </c>
      <c r="H82" s="202">
        <f t="shared" si="7"/>
        <v>0.3</v>
      </c>
    </row>
    <row r="83" spans="1:8" x14ac:dyDescent="0.15">
      <c r="A83" s="9" t="s">
        <v>64</v>
      </c>
      <c r="B83" s="162">
        <f>$B$74*B80+$C$74*B81</f>
        <v>0</v>
      </c>
      <c r="C83" s="162">
        <f t="shared" ref="C83:H83" si="8">$B$74*C80+$C$74*C81</f>
        <v>0.1</v>
      </c>
      <c r="D83" s="162">
        <f t="shared" si="8"/>
        <v>0.11250000000000002</v>
      </c>
      <c r="E83" s="162">
        <f t="shared" si="8"/>
        <v>0.125</v>
      </c>
      <c r="F83" s="162">
        <f t="shared" si="8"/>
        <v>0.15000000000000002</v>
      </c>
      <c r="G83" s="162">
        <f t="shared" si="8"/>
        <v>0.17500000000000002</v>
      </c>
      <c r="H83" s="162">
        <f t="shared" si="8"/>
        <v>0.2</v>
      </c>
    </row>
    <row r="101" spans="1:1" x14ac:dyDescent="0.15">
      <c r="A101" s="215"/>
    </row>
  </sheetData>
  <phoneticPr fontId="4" type="noConversion"/>
  <pageMargins left="0.7" right="0.7" top="0.75" bottom="0.75" header="0.3" footer="0.3"/>
  <pageSetup paperSize="9" scale="49" fitToHeight="0" orientation="portrait"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44"/>
  <sheetViews>
    <sheetView showGridLines="0" workbookViewId="0">
      <selection activeCell="C20" sqref="C20"/>
    </sheetView>
  </sheetViews>
  <sheetFormatPr baseColWidth="10" defaultColWidth="10.6640625" defaultRowHeight="14" x14ac:dyDescent="0.15"/>
  <cols>
    <col min="1" max="1" width="24.5" style="9" customWidth="1"/>
    <col min="2" max="2" width="15.5" style="9" customWidth="1"/>
    <col min="3" max="16384" width="10.6640625" style="9"/>
  </cols>
  <sheetData>
    <row r="1" spans="1:6" x14ac:dyDescent="0.15">
      <c r="A1" s="32" t="s">
        <v>352</v>
      </c>
    </row>
    <row r="2" spans="1:6" x14ac:dyDescent="0.15">
      <c r="A2" s="9" t="s">
        <v>1219</v>
      </c>
      <c r="B2" s="9">
        <v>0.7</v>
      </c>
    </row>
    <row r="3" spans="1:6" x14ac:dyDescent="0.15">
      <c r="A3" s="9" t="s">
        <v>1220</v>
      </c>
      <c r="B3" s="9">
        <v>1.1000000000000001</v>
      </c>
    </row>
    <row r="4" spans="1:6" x14ac:dyDescent="0.15">
      <c r="A4" s="9" t="s">
        <v>1221</v>
      </c>
      <c r="B4" s="164">
        <v>0.1</v>
      </c>
    </row>
    <row r="5" spans="1:6" x14ac:dyDescent="0.15">
      <c r="A5" s="9" t="s">
        <v>66</v>
      </c>
      <c r="B5" s="164">
        <v>0.05</v>
      </c>
    </row>
    <row r="7" spans="1:6" x14ac:dyDescent="0.15">
      <c r="A7" s="9" t="s">
        <v>1222</v>
      </c>
      <c r="B7" s="123">
        <f>B5+B2*(B4-B5)/B3</f>
        <v>8.1818181818181818E-2</v>
      </c>
    </row>
    <row r="9" spans="1:6" x14ac:dyDescent="0.15">
      <c r="A9" s="32" t="s">
        <v>974</v>
      </c>
    </row>
    <row r="10" spans="1:6" x14ac:dyDescent="0.15">
      <c r="A10" s="9" t="s">
        <v>66</v>
      </c>
      <c r="B10" s="162">
        <v>5.5E-2</v>
      </c>
    </row>
    <row r="11" spans="1:6" x14ac:dyDescent="0.15">
      <c r="A11" s="9" t="s">
        <v>67</v>
      </c>
      <c r="B11" s="104">
        <v>0.04</v>
      </c>
      <c r="C11" s="162"/>
    </row>
    <row r="13" spans="1:6" x14ac:dyDescent="0.15">
      <c r="A13" s="29" t="s">
        <v>68</v>
      </c>
      <c r="B13" s="187" t="s">
        <v>1223</v>
      </c>
      <c r="C13" s="29" t="s">
        <v>1224</v>
      </c>
      <c r="D13" s="29" t="s">
        <v>503</v>
      </c>
      <c r="E13" s="29" t="s">
        <v>504</v>
      </c>
      <c r="F13" s="29" t="s">
        <v>1225</v>
      </c>
    </row>
    <row r="14" spans="1:6" x14ac:dyDescent="0.15">
      <c r="A14" s="9" t="s">
        <v>811</v>
      </c>
      <c r="B14" s="217">
        <v>0.34</v>
      </c>
      <c r="C14" s="25">
        <v>0.77</v>
      </c>
      <c r="D14" s="25">
        <v>0.93</v>
      </c>
      <c r="E14" s="25">
        <v>1.47</v>
      </c>
      <c r="F14" s="25">
        <v>2.1</v>
      </c>
    </row>
    <row r="15" spans="1:6" x14ac:dyDescent="0.15">
      <c r="A15" s="9" t="s">
        <v>1067</v>
      </c>
      <c r="B15" s="218">
        <v>0.09</v>
      </c>
      <c r="C15" s="164">
        <v>8.2000000000000003E-2</v>
      </c>
      <c r="D15" s="164">
        <v>0.08</v>
      </c>
      <c r="E15" s="164">
        <v>0.1</v>
      </c>
      <c r="F15" s="164">
        <v>0.18</v>
      </c>
    </row>
    <row r="16" spans="1:6" x14ac:dyDescent="0.15">
      <c r="A16" s="9" t="s">
        <v>69</v>
      </c>
      <c r="B16" s="219" t="str">
        <f>IF($B10+B14*$B11&gt;B15,"over-valued",IF($B10+B14*$B11=B15,"Ok!","under-valued"))</f>
        <v>under-valued</v>
      </c>
      <c r="C16" s="220" t="str">
        <f>IF($B10+C14*$B11&gt;C15,"over-valued",IF($B10+C14*$B11=C15,"Ok!","under-valued"))</f>
        <v>over-valued</v>
      </c>
      <c r="D16" s="220" t="str">
        <f>IF($B10+D14*$B11&gt;D15,"over-valued",IF($B10+D14*$B11=D15,"Ok!","under-valued"))</f>
        <v>over-valued</v>
      </c>
      <c r="E16" s="220" t="str">
        <f>IF($B10+E14*$B11&gt;E15,"over-valued",IF($B10+E14*$B11=E15,"Ok!","under-valued"))</f>
        <v>over-valued</v>
      </c>
      <c r="F16" s="220" t="str">
        <f>IF($B10+F14*$B11&gt;F15,"over-valued",IF($B10+F14*$B11=F15,"Ok!","under-valued"))</f>
        <v>under-valued</v>
      </c>
    </row>
    <row r="18" spans="1:3" x14ac:dyDescent="0.15">
      <c r="A18" s="32" t="s">
        <v>984</v>
      </c>
    </row>
    <row r="19" spans="1:3" x14ac:dyDescent="0.15">
      <c r="A19" s="9" t="s">
        <v>1226</v>
      </c>
      <c r="B19" s="15">
        <v>40</v>
      </c>
      <c r="C19" s="9" t="s">
        <v>813</v>
      </c>
    </row>
    <row r="20" spans="1:3" x14ac:dyDescent="0.15">
      <c r="A20" s="9" t="s">
        <v>1227</v>
      </c>
      <c r="B20" s="9">
        <v>2.7</v>
      </c>
    </row>
    <row r="21" spans="1:3" x14ac:dyDescent="0.15">
      <c r="A21" s="9" t="s">
        <v>70</v>
      </c>
      <c r="B21" s="104">
        <v>0.09</v>
      </c>
    </row>
    <row r="22" spans="1:3" x14ac:dyDescent="0.15">
      <c r="A22" s="9" t="s">
        <v>66</v>
      </c>
      <c r="B22" s="104">
        <v>0.05</v>
      </c>
    </row>
    <row r="24" spans="1:3" x14ac:dyDescent="0.15">
      <c r="A24" s="9" t="s">
        <v>71</v>
      </c>
      <c r="B24" s="104">
        <f>B22+(B21-B22)*B20</f>
        <v>0.15799999999999997</v>
      </c>
    </row>
    <row r="25" spans="1:3" x14ac:dyDescent="0.15">
      <c r="A25" s="9" t="s">
        <v>1041</v>
      </c>
      <c r="B25" s="16">
        <f>B19/(1+B24)</f>
        <v>34.542314335060453</v>
      </c>
      <c r="C25" s="9" t="s">
        <v>813</v>
      </c>
    </row>
    <row r="27" spans="1:3" x14ac:dyDescent="0.15">
      <c r="A27" s="32" t="s">
        <v>470</v>
      </c>
    </row>
    <row r="28" spans="1:3" x14ac:dyDescent="0.15">
      <c r="A28" s="9" t="s">
        <v>811</v>
      </c>
      <c r="B28" s="9">
        <v>1.2</v>
      </c>
    </row>
    <row r="29" spans="1:3" x14ac:dyDescent="0.15">
      <c r="A29" s="9" t="s">
        <v>66</v>
      </c>
      <c r="B29" s="162">
        <v>5.6000000000000001E-2</v>
      </c>
    </row>
    <row r="30" spans="1:3" x14ac:dyDescent="0.15">
      <c r="A30" s="9" t="s">
        <v>67</v>
      </c>
      <c r="B30" s="104">
        <v>0.03</v>
      </c>
    </row>
    <row r="32" spans="1:3" ht="16" x14ac:dyDescent="0.15">
      <c r="A32" s="9" t="s">
        <v>1338</v>
      </c>
      <c r="B32" s="9">
        <v>-0.4</v>
      </c>
      <c r="C32" s="9">
        <v>0</v>
      </c>
    </row>
    <row r="33" spans="1:3" x14ac:dyDescent="0.15">
      <c r="A33" s="9" t="s">
        <v>814</v>
      </c>
      <c r="B33" s="162">
        <f>$B29+B32*2%+B38*5%</f>
        <v>9.1999999999999998E-2</v>
      </c>
      <c r="C33" s="162">
        <f>$B29+C32*2%+C38*5%</f>
        <v>9.1999999999999998E-2</v>
      </c>
    </row>
    <row r="35" spans="1:3" x14ac:dyDescent="0.15">
      <c r="A35" s="9" t="s">
        <v>72</v>
      </c>
      <c r="B35" s="162">
        <f>$B29+$B30*$B28</f>
        <v>9.1999999999999998E-2</v>
      </c>
      <c r="C35" s="162">
        <f>$B29+$B30*$B28</f>
        <v>9.1999999999999998E-2</v>
      </c>
    </row>
    <row r="36" spans="1:3" x14ac:dyDescent="0.15">
      <c r="A36" s="9" t="s">
        <v>73</v>
      </c>
      <c r="B36" s="162">
        <f>B33-B35</f>
        <v>0</v>
      </c>
      <c r="C36" s="162">
        <f>C33-C35</f>
        <v>0</v>
      </c>
    </row>
    <row r="38" spans="1:3" ht="16" x14ac:dyDescent="0.15">
      <c r="A38" s="13" t="s">
        <v>1339</v>
      </c>
      <c r="B38" s="13">
        <v>0.88</v>
      </c>
      <c r="C38" s="13">
        <v>0.72</v>
      </c>
    </row>
    <row r="40" spans="1:3" x14ac:dyDescent="0.15">
      <c r="A40" s="45"/>
    </row>
    <row r="42" spans="1:3" x14ac:dyDescent="0.15">
      <c r="B42" s="104"/>
    </row>
    <row r="43" spans="1:3" x14ac:dyDescent="0.15">
      <c r="B43" s="104"/>
    </row>
    <row r="44" spans="1:3" x14ac:dyDescent="0.15">
      <c r="B44" s="104"/>
    </row>
  </sheetData>
  <phoneticPr fontId="4" type="noConversion"/>
  <pageMargins left="0.7" right="0.7" top="0.75" bottom="0.75" header="0.3" footer="0.3"/>
  <pageSetup paperSize="9" scale="93" fitToHeight="0" orientation="portrait" r:id="rId1"/>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77"/>
  <sheetViews>
    <sheetView showGridLines="0" workbookViewId="0">
      <selection activeCell="C20" sqref="C20"/>
    </sheetView>
  </sheetViews>
  <sheetFormatPr baseColWidth="10" defaultColWidth="11" defaultRowHeight="14" x14ac:dyDescent="0.15"/>
  <cols>
    <col min="1" max="1" width="33.5" style="9" customWidth="1"/>
    <col min="2" max="10" width="13.6640625" style="9" customWidth="1"/>
    <col min="11" max="16384" width="11" style="9"/>
  </cols>
  <sheetData>
    <row r="1" spans="1:9" ht="15" x14ac:dyDescent="0.15">
      <c r="A1" s="8" t="s">
        <v>1242</v>
      </c>
    </row>
    <row r="2" spans="1:9" ht="15" x14ac:dyDescent="0.15">
      <c r="A2" s="8"/>
    </row>
    <row r="3" spans="1:9" x14ac:dyDescent="0.15">
      <c r="A3" s="9" t="s">
        <v>1243</v>
      </c>
      <c r="B3" s="9">
        <v>125</v>
      </c>
      <c r="C3" s="9" t="s">
        <v>1228</v>
      </c>
    </row>
    <row r="4" spans="1:9" x14ac:dyDescent="0.15">
      <c r="A4" s="9" t="s">
        <v>635</v>
      </c>
      <c r="B4" s="221">
        <v>0.99731000000000003</v>
      </c>
    </row>
    <row r="5" spans="1:9" x14ac:dyDescent="0.15">
      <c r="A5" s="9" t="s">
        <v>1244</v>
      </c>
      <c r="B5" s="222">
        <v>40229</v>
      </c>
    </row>
    <row r="6" spans="1:9" x14ac:dyDescent="0.15">
      <c r="A6" s="9" t="s">
        <v>1245</v>
      </c>
      <c r="B6" s="222">
        <v>40229</v>
      </c>
    </row>
    <row r="7" spans="1:9" x14ac:dyDescent="0.15">
      <c r="A7" s="9" t="s">
        <v>132</v>
      </c>
      <c r="B7" s="9">
        <v>7</v>
      </c>
      <c r="C7" s="9" t="s">
        <v>1099</v>
      </c>
    </row>
    <row r="8" spans="1:9" x14ac:dyDescent="0.15">
      <c r="A8" s="9" t="s">
        <v>771</v>
      </c>
      <c r="B8" s="164">
        <v>5.5E-2</v>
      </c>
    </row>
    <row r="10" spans="1:9" x14ac:dyDescent="0.15">
      <c r="A10" s="9" t="s">
        <v>1104</v>
      </c>
    </row>
    <row r="11" spans="1:9" x14ac:dyDescent="0.15">
      <c r="A11" s="9" t="s">
        <v>801</v>
      </c>
      <c r="B11" s="222">
        <f>B5</f>
        <v>40229</v>
      </c>
      <c r="C11" s="222">
        <f>B11+365</f>
        <v>40594</v>
      </c>
      <c r="D11" s="222">
        <f>C11+365</f>
        <v>40959</v>
      </c>
      <c r="E11" s="222">
        <f>D11+366</f>
        <v>41325</v>
      </c>
      <c r="F11" s="222">
        <f>E11+365</f>
        <v>41690</v>
      </c>
      <c r="G11" s="222">
        <f>F11+365</f>
        <v>42055</v>
      </c>
      <c r="H11" s="222">
        <f>G11+365</f>
        <v>42420</v>
      </c>
      <c r="I11" s="222">
        <f>H11+366</f>
        <v>42786</v>
      </c>
    </row>
    <row r="12" spans="1:9" x14ac:dyDescent="0.15">
      <c r="B12" s="9">
        <v>0</v>
      </c>
      <c r="C12" s="9">
        <v>1</v>
      </c>
      <c r="D12" s="9">
        <v>2</v>
      </c>
      <c r="E12" s="9">
        <v>3</v>
      </c>
      <c r="F12" s="9">
        <v>4</v>
      </c>
      <c r="G12" s="9">
        <v>5</v>
      </c>
      <c r="H12" s="9">
        <v>6</v>
      </c>
      <c r="I12" s="9">
        <v>7</v>
      </c>
    </row>
    <row r="13" spans="1:9" x14ac:dyDescent="0.15">
      <c r="A13" s="9" t="s">
        <v>1104</v>
      </c>
      <c r="B13" s="221">
        <f>-B4</f>
        <v>-0.99731000000000003</v>
      </c>
      <c r="C13" s="221">
        <f t="shared" ref="C13:H13" si="0">$B8</f>
        <v>5.5E-2</v>
      </c>
      <c r="D13" s="221">
        <f t="shared" si="0"/>
        <v>5.5E-2</v>
      </c>
      <c r="E13" s="221">
        <f t="shared" si="0"/>
        <v>5.5E-2</v>
      </c>
      <c r="F13" s="221">
        <f t="shared" si="0"/>
        <v>5.5E-2</v>
      </c>
      <c r="G13" s="221">
        <f t="shared" si="0"/>
        <v>5.5E-2</v>
      </c>
      <c r="H13" s="221">
        <f t="shared" si="0"/>
        <v>5.5E-2</v>
      </c>
      <c r="I13" s="221">
        <f>1+H13</f>
        <v>1.0549999999999999</v>
      </c>
    </row>
    <row r="14" spans="1:9" x14ac:dyDescent="0.15">
      <c r="A14" s="9" t="s">
        <v>532</v>
      </c>
      <c r="B14" s="210">
        <f t="shared" ref="B14:I14" si="1">B13/POWER(1+$B15,B12)</f>
        <v>-0.99731000000000003</v>
      </c>
      <c r="C14" s="210">
        <f t="shared" si="1"/>
        <v>5.2109486768927592E-2</v>
      </c>
      <c r="D14" s="210">
        <f t="shared" si="1"/>
        <v>4.9370883842200723E-2</v>
      </c>
      <c r="E14" s="210">
        <f t="shared" si="1"/>
        <v>4.6776207606280353E-2</v>
      </c>
      <c r="F14" s="210">
        <f t="shared" si="1"/>
        <v>4.4317894024728667E-2</v>
      </c>
      <c r="G14" s="210">
        <f t="shared" si="1"/>
        <v>4.1988776587424254E-2</v>
      </c>
      <c r="H14" s="210">
        <f t="shared" si="1"/>
        <v>3.9782065418651653E-2</v>
      </c>
      <c r="I14" s="210">
        <f t="shared" si="1"/>
        <v>0.72298819081335564</v>
      </c>
    </row>
    <row r="15" spans="1:9" ht="15" x14ac:dyDescent="0.15">
      <c r="A15" s="10" t="s">
        <v>1056</v>
      </c>
      <c r="B15" s="208">
        <v>5.5469999999999998E-2</v>
      </c>
    </row>
    <row r="16" spans="1:9" ht="15" x14ac:dyDescent="0.15">
      <c r="A16" s="12" t="s">
        <v>426</v>
      </c>
      <c r="B16" s="210">
        <f>SUM(C14:I14)</f>
        <v>0.99733350506156881</v>
      </c>
    </row>
    <row r="17" spans="1:9" x14ac:dyDescent="0.15">
      <c r="A17" s="9" t="s">
        <v>1075</v>
      </c>
      <c r="B17" s="104">
        <f>SUM(B14:I14)</f>
        <v>2.3505061568784846E-5</v>
      </c>
    </row>
    <row r="19" spans="1:9" x14ac:dyDescent="0.15">
      <c r="B19" s="16">
        <f t="shared" ref="B19:I19" si="2">B12*B13/POWER(1+$B15,B12+1)</f>
        <v>0</v>
      </c>
      <c r="C19" s="16">
        <f t="shared" si="2"/>
        <v>4.9370883842200723E-2</v>
      </c>
      <c r="D19" s="16">
        <f t="shared" si="2"/>
        <v>9.3552415212560705E-2</v>
      </c>
      <c r="E19" s="16">
        <f t="shared" si="2"/>
        <v>0.13295368207418601</v>
      </c>
      <c r="F19" s="16">
        <f t="shared" si="2"/>
        <v>0.16795510634969701</v>
      </c>
      <c r="G19" s="16">
        <f t="shared" si="2"/>
        <v>0.19891032709325829</v>
      </c>
      <c r="H19" s="16">
        <f t="shared" si="2"/>
        <v>0.22614796489896435</v>
      </c>
      <c r="I19" s="16">
        <f t="shared" si="2"/>
        <v>4.7949419080537501</v>
      </c>
    </row>
    <row r="20" spans="1:9" x14ac:dyDescent="0.15">
      <c r="A20" s="13" t="s">
        <v>1246</v>
      </c>
      <c r="B20" s="223">
        <f>SUM(B19:I19)/B16</f>
        <v>5.6789752462742831</v>
      </c>
    </row>
    <row r="21" spans="1:9" x14ac:dyDescent="0.15">
      <c r="A21" s="13"/>
      <c r="B21" s="13"/>
    </row>
    <row r="22" spans="1:9" x14ac:dyDescent="0.15">
      <c r="A22" s="13"/>
      <c r="B22" s="16">
        <f t="shared" ref="B22:I22" si="3">B12*B13/POWER(1+$B15,B12)</f>
        <v>0</v>
      </c>
      <c r="C22" s="16">
        <f t="shared" si="3"/>
        <v>5.2109486768927592E-2</v>
      </c>
      <c r="D22" s="16">
        <f t="shared" si="3"/>
        <v>9.8741767684401446E-2</v>
      </c>
      <c r="E22" s="16">
        <f t="shared" si="3"/>
        <v>0.14032862281884106</v>
      </c>
      <c r="F22" s="16">
        <f t="shared" si="3"/>
        <v>0.17727157609891467</v>
      </c>
      <c r="G22" s="16">
        <f t="shared" si="3"/>
        <v>0.2099438829371213</v>
      </c>
      <c r="H22" s="16">
        <f t="shared" si="3"/>
        <v>0.23869239251190993</v>
      </c>
      <c r="I22" s="16">
        <f t="shared" si="3"/>
        <v>5.0609173356934898</v>
      </c>
    </row>
    <row r="23" spans="1:9" x14ac:dyDescent="0.15">
      <c r="A23" s="13" t="s">
        <v>1229</v>
      </c>
      <c r="B23" s="224">
        <f>SUM(B22:I22)/B16</f>
        <v>5.993988003185116</v>
      </c>
    </row>
    <row r="24" spans="1:9" x14ac:dyDescent="0.15">
      <c r="B24" s="224">
        <f>B20*(1+B15)</f>
        <v>5.9939880031851169</v>
      </c>
    </row>
    <row r="26" spans="1:9" x14ac:dyDescent="0.15">
      <c r="A26" s="215" t="s">
        <v>1247</v>
      </c>
    </row>
    <row r="27" spans="1:9" x14ac:dyDescent="0.15">
      <c r="A27" s="9" t="s">
        <v>532</v>
      </c>
      <c r="B27" s="210"/>
      <c r="C27" s="210"/>
      <c r="D27" s="210">
        <f t="shared" ref="D27:I27" si="4">D13/POWER(1+$B28,D12-1)</f>
        <v>5.2380952380952382E-2</v>
      </c>
      <c r="E27" s="210">
        <f t="shared" si="4"/>
        <v>4.9886621315192739E-2</v>
      </c>
      <c r="F27" s="210">
        <f t="shared" si="4"/>
        <v>4.7511067919231181E-2</v>
      </c>
      <c r="G27" s="210">
        <f t="shared" si="4"/>
        <v>4.5248636113553509E-2</v>
      </c>
      <c r="H27" s="210">
        <f t="shared" si="4"/>
        <v>4.3093939155765246E-2</v>
      </c>
      <c r="I27" s="210">
        <f t="shared" si="4"/>
        <v>0.78725724345164216</v>
      </c>
    </row>
    <row r="28" spans="1:9" ht="15" x14ac:dyDescent="0.15">
      <c r="A28" s="12" t="s">
        <v>1248</v>
      </c>
      <c r="B28" s="123">
        <v>0.05</v>
      </c>
    </row>
    <row r="29" spans="1:9" ht="15" x14ac:dyDescent="0.15">
      <c r="A29" s="10" t="s">
        <v>426</v>
      </c>
      <c r="B29" s="171">
        <f>SUM(C27:I27)</f>
        <v>1.0253784603363372</v>
      </c>
    </row>
    <row r="31" spans="1:9" x14ac:dyDescent="0.15">
      <c r="C31" s="9">
        <f t="shared" ref="C31:I31" si="5">(C12-1)*C13/POWER(1+$B28,C12)</f>
        <v>0</v>
      </c>
      <c r="D31" s="9">
        <f t="shared" si="5"/>
        <v>4.9886621315192739E-2</v>
      </c>
      <c r="E31" s="9">
        <f t="shared" si="5"/>
        <v>9.5022135838462363E-2</v>
      </c>
      <c r="F31" s="9">
        <f t="shared" si="5"/>
        <v>0.13574590834066053</v>
      </c>
      <c r="G31" s="9">
        <f t="shared" si="5"/>
        <v>0.17237575662306098</v>
      </c>
      <c r="H31" s="9">
        <f t="shared" si="5"/>
        <v>0.20520923407507263</v>
      </c>
      <c r="I31" s="9">
        <f t="shared" si="5"/>
        <v>4.498612819723669</v>
      </c>
    </row>
    <row r="32" spans="1:9" x14ac:dyDescent="0.15">
      <c r="A32" s="13" t="s">
        <v>1246</v>
      </c>
      <c r="B32" s="225">
        <f>SUM(B31:I31)/B29</f>
        <v>5.0292186498871887</v>
      </c>
    </row>
    <row r="34" spans="1:10" x14ac:dyDescent="0.15">
      <c r="A34" s="13"/>
      <c r="C34" s="9">
        <f t="shared" ref="C34:I34" si="6">(C12-1)*C13/POWER(1+$B28,C12-1)</f>
        <v>0</v>
      </c>
      <c r="D34" s="9">
        <f t="shared" si="6"/>
        <v>5.2380952380952382E-2</v>
      </c>
      <c r="E34" s="9">
        <f t="shared" si="6"/>
        <v>9.9773242630385478E-2</v>
      </c>
      <c r="F34" s="9">
        <f t="shared" si="6"/>
        <v>0.14253320375769354</v>
      </c>
      <c r="G34" s="9">
        <f t="shared" si="6"/>
        <v>0.18099454445421403</v>
      </c>
      <c r="H34" s="9">
        <f t="shared" si="6"/>
        <v>0.21546969577882624</v>
      </c>
      <c r="I34" s="9">
        <f t="shared" si="6"/>
        <v>4.7235434607098528</v>
      </c>
    </row>
    <row r="35" spans="1:10" x14ac:dyDescent="0.15">
      <c r="A35" s="13" t="s">
        <v>1229</v>
      </c>
      <c r="B35" s="225">
        <f>SUM(B34:I34)/B29</f>
        <v>5.2806795823815484</v>
      </c>
    </row>
    <row r="36" spans="1:10" x14ac:dyDescent="0.15">
      <c r="B36" s="225">
        <f>B32*(1+B28)</f>
        <v>5.2806795823815484</v>
      </c>
    </row>
    <row r="38" spans="1:10" ht="15" x14ac:dyDescent="0.15">
      <c r="A38" s="8" t="s">
        <v>1249</v>
      </c>
    </row>
    <row r="39" spans="1:10" x14ac:dyDescent="0.15">
      <c r="A39" s="9" t="s">
        <v>132</v>
      </c>
      <c r="B39" s="9">
        <v>10</v>
      </c>
      <c r="C39" s="9" t="s">
        <v>1099</v>
      </c>
    </row>
    <row r="40" spans="1:10" x14ac:dyDescent="0.15">
      <c r="A40" s="9" t="s">
        <v>141</v>
      </c>
      <c r="B40" s="104">
        <v>0.08</v>
      </c>
    </row>
    <row r="41" spans="1:10" x14ac:dyDescent="0.15">
      <c r="B41" s="104"/>
    </row>
    <row r="42" spans="1:10" x14ac:dyDescent="0.15">
      <c r="A42" s="9" t="s">
        <v>496</v>
      </c>
      <c r="F42" s="226"/>
    </row>
    <row r="43" spans="1:10" x14ac:dyDescent="0.15">
      <c r="A43" s="9" t="s">
        <v>1250</v>
      </c>
      <c r="B43" s="162">
        <v>7.9000000000000001E-2</v>
      </c>
      <c r="C43" s="162">
        <v>0.08</v>
      </c>
      <c r="D43" s="162">
        <v>8.1000000000000003E-2</v>
      </c>
      <c r="E43" s="162">
        <v>8.2000000000000003E-2</v>
      </c>
      <c r="F43" s="227">
        <v>8.3000000000000004E-2</v>
      </c>
      <c r="G43" s="162">
        <v>8.4000000000000005E-2</v>
      </c>
      <c r="H43" s="162">
        <v>8.5000000000000006E-2</v>
      </c>
      <c r="I43" s="162">
        <v>8.5999999999999993E-2</v>
      </c>
      <c r="J43" s="162">
        <v>8.6999999999999994E-2</v>
      </c>
    </row>
    <row r="44" spans="1:10" x14ac:dyDescent="0.15">
      <c r="B44" s="162"/>
      <c r="C44" s="162"/>
      <c r="D44" s="162"/>
      <c r="E44" s="162"/>
      <c r="F44" s="227"/>
      <c r="G44" s="162"/>
      <c r="H44" s="162"/>
      <c r="I44" s="162"/>
      <c r="J44" s="162"/>
    </row>
    <row r="45" spans="1:10" x14ac:dyDescent="0.15">
      <c r="A45" s="9" t="s">
        <v>1252</v>
      </c>
      <c r="B45" s="162">
        <f t="shared" ref="B45:J45" si="7">$B40+1.5*(B43-8.3%)</f>
        <v>7.3999999999999996E-2</v>
      </c>
      <c r="C45" s="162">
        <f t="shared" si="7"/>
        <v>7.5499999999999998E-2</v>
      </c>
      <c r="D45" s="162">
        <f t="shared" si="7"/>
        <v>7.6999999999999999E-2</v>
      </c>
      <c r="E45" s="162">
        <f t="shared" si="7"/>
        <v>7.85E-2</v>
      </c>
      <c r="F45" s="227">
        <f t="shared" si="7"/>
        <v>0.08</v>
      </c>
      <c r="G45" s="162">
        <f t="shared" si="7"/>
        <v>8.1500000000000003E-2</v>
      </c>
      <c r="H45" s="162">
        <f t="shared" si="7"/>
        <v>8.3000000000000004E-2</v>
      </c>
      <c r="I45" s="162">
        <f t="shared" si="7"/>
        <v>8.4499999999999992E-2</v>
      </c>
      <c r="J45" s="162">
        <f t="shared" si="7"/>
        <v>8.5999999999999993E-2</v>
      </c>
    </row>
    <row r="46" spans="1:10" x14ac:dyDescent="0.15">
      <c r="A46" s="9" t="s">
        <v>1251</v>
      </c>
      <c r="B46" s="228" t="s">
        <v>1230</v>
      </c>
      <c r="C46" s="228" t="s">
        <v>564</v>
      </c>
      <c r="D46" s="228" t="s">
        <v>1231</v>
      </c>
      <c r="E46" s="228" t="s">
        <v>562</v>
      </c>
      <c r="F46" s="226"/>
      <c r="G46" s="228" t="s">
        <v>561</v>
      </c>
      <c r="H46" s="228" t="s">
        <v>563</v>
      </c>
      <c r="I46" s="228" t="s">
        <v>1232</v>
      </c>
      <c r="J46" s="228" t="s">
        <v>1233</v>
      </c>
    </row>
    <row r="47" spans="1:10" x14ac:dyDescent="0.15">
      <c r="F47" s="226"/>
    </row>
    <row r="48" spans="1:10" x14ac:dyDescent="0.15">
      <c r="A48" s="9" t="s">
        <v>1253</v>
      </c>
      <c r="B48" s="202">
        <f t="shared" ref="B48:J48" si="8">$B40-1.5*(B43-8.3%)</f>
        <v>8.6000000000000007E-2</v>
      </c>
      <c r="C48" s="202">
        <f t="shared" si="8"/>
        <v>8.4500000000000006E-2</v>
      </c>
      <c r="D48" s="202">
        <f t="shared" si="8"/>
        <v>8.3000000000000004E-2</v>
      </c>
      <c r="E48" s="202">
        <f t="shared" si="8"/>
        <v>8.1500000000000003E-2</v>
      </c>
      <c r="F48" s="229">
        <f t="shared" si="8"/>
        <v>0.08</v>
      </c>
      <c r="G48" s="202">
        <f t="shared" si="8"/>
        <v>7.85E-2</v>
      </c>
      <c r="H48" s="202">
        <f t="shared" si="8"/>
        <v>7.6999999999999999E-2</v>
      </c>
      <c r="I48" s="202">
        <f t="shared" si="8"/>
        <v>7.5500000000000012E-2</v>
      </c>
      <c r="J48" s="202">
        <f t="shared" si="8"/>
        <v>7.400000000000001E-2</v>
      </c>
    </row>
    <row r="49" spans="1:10" x14ac:dyDescent="0.15">
      <c r="A49" s="9" t="s">
        <v>1251</v>
      </c>
      <c r="B49" s="228" t="s">
        <v>1233</v>
      </c>
      <c r="C49" s="228" t="s">
        <v>1232</v>
      </c>
      <c r="D49" s="228" t="s">
        <v>563</v>
      </c>
      <c r="E49" s="228" t="s">
        <v>561</v>
      </c>
      <c r="F49" s="226"/>
      <c r="G49" s="228" t="s">
        <v>562</v>
      </c>
      <c r="H49" s="228" t="s">
        <v>1231</v>
      </c>
      <c r="I49" s="228" t="s">
        <v>564</v>
      </c>
      <c r="J49" s="228" t="s">
        <v>1230</v>
      </c>
    </row>
    <row r="51" spans="1:10" x14ac:dyDescent="0.15">
      <c r="A51" s="9" t="s">
        <v>497</v>
      </c>
    </row>
    <row r="52" spans="1:10" x14ac:dyDescent="0.15">
      <c r="A52" s="9" t="s">
        <v>1254</v>
      </c>
    </row>
    <row r="54" spans="1:10" ht="13.75" x14ac:dyDescent="0.2">
      <c r="A54" s="9" t="s">
        <v>565</v>
      </c>
    </row>
    <row r="55" spans="1:10" ht="13.75" x14ac:dyDescent="0.2">
      <c r="A55" s="9" t="s">
        <v>1255</v>
      </c>
    </row>
    <row r="57" spans="1:10" ht="13.75" x14ac:dyDescent="0.2">
      <c r="A57" s="9" t="s">
        <v>566</v>
      </c>
    </row>
    <row r="58" spans="1:10" ht="13.75" x14ac:dyDescent="0.2">
      <c r="A58" s="9" t="s">
        <v>1256</v>
      </c>
    </row>
    <row r="60" spans="1:10" ht="14.5" x14ac:dyDescent="0.2">
      <c r="A60" s="8" t="s">
        <v>1261</v>
      </c>
    </row>
    <row r="61" spans="1:10" ht="14.5" x14ac:dyDescent="0.2">
      <c r="A61" s="8"/>
    </row>
    <row r="62" spans="1:10" ht="27.5" x14ac:dyDescent="0.2">
      <c r="A62" s="230" t="s">
        <v>132</v>
      </c>
      <c r="B62" s="230" t="s">
        <v>51</v>
      </c>
      <c r="C62" s="230" t="s">
        <v>208</v>
      </c>
      <c r="D62" s="230"/>
      <c r="E62" s="231" t="s">
        <v>1056</v>
      </c>
      <c r="F62" s="231" t="s">
        <v>1257</v>
      </c>
    </row>
    <row r="63" spans="1:10" ht="13.75" x14ac:dyDescent="0.2">
      <c r="A63" s="232">
        <v>40594</v>
      </c>
      <c r="B63" s="233">
        <v>1</v>
      </c>
      <c r="C63" s="16">
        <v>96.25</v>
      </c>
      <c r="D63" s="121" t="s">
        <v>1234</v>
      </c>
      <c r="E63" s="234">
        <f t="shared" ref="E63:E69" si="9">POWER(100/C63,1/B63)-1</f>
        <v>3.8961038961038863E-2</v>
      </c>
      <c r="F63" s="235">
        <f t="shared" ref="F63:F69" si="10">E63+B$72</f>
        <v>4.4761038961038863E-2</v>
      </c>
    </row>
    <row r="64" spans="1:10" ht="13.75" x14ac:dyDescent="0.2">
      <c r="A64" s="232">
        <f>A63+365</f>
        <v>40959</v>
      </c>
      <c r="B64" s="233">
        <f t="shared" ref="B64:B69" si="11">B63+1</f>
        <v>2</v>
      </c>
      <c r="C64" s="16">
        <v>91.92</v>
      </c>
      <c r="D64" s="121" t="s">
        <v>1235</v>
      </c>
      <c r="E64" s="234">
        <f t="shared" si="9"/>
        <v>4.302565832958094E-2</v>
      </c>
      <c r="F64" s="235">
        <f t="shared" si="10"/>
        <v>4.882565832958094E-2</v>
      </c>
    </row>
    <row r="65" spans="1:9" ht="13.75" x14ac:dyDescent="0.2">
      <c r="A65" s="232">
        <f>A64+366</f>
        <v>41325</v>
      </c>
      <c r="B65" s="233">
        <f t="shared" si="11"/>
        <v>3</v>
      </c>
      <c r="C65" s="16">
        <v>87.38</v>
      </c>
      <c r="D65" s="121" t="s">
        <v>1236</v>
      </c>
      <c r="E65" s="234">
        <f t="shared" si="9"/>
        <v>4.5994304732602354E-2</v>
      </c>
      <c r="F65" s="235">
        <f t="shared" si="10"/>
        <v>5.1794304732602353E-2</v>
      </c>
    </row>
    <row r="66" spans="1:9" ht="13.75" x14ac:dyDescent="0.2">
      <c r="A66" s="232">
        <f>A65+365</f>
        <v>41690</v>
      </c>
      <c r="B66" s="233">
        <f t="shared" si="11"/>
        <v>4</v>
      </c>
      <c r="C66" s="16">
        <v>82.9</v>
      </c>
      <c r="D66" s="121" t="s">
        <v>1237</v>
      </c>
      <c r="E66" s="234">
        <f t="shared" si="9"/>
        <v>4.8000204425897364E-2</v>
      </c>
      <c r="F66" s="235">
        <f t="shared" si="10"/>
        <v>5.3800204425897363E-2</v>
      </c>
    </row>
    <row r="67" spans="1:9" ht="13.75" x14ac:dyDescent="0.2">
      <c r="A67" s="232">
        <f>A66+365</f>
        <v>42055</v>
      </c>
      <c r="B67" s="233">
        <f t="shared" si="11"/>
        <v>5</v>
      </c>
      <c r="C67" s="16">
        <v>78.349999999999994</v>
      </c>
      <c r="D67" s="121" t="s">
        <v>1238</v>
      </c>
      <c r="E67" s="234">
        <f t="shared" si="9"/>
        <v>5.0007013254590893E-2</v>
      </c>
      <c r="F67" s="235">
        <f t="shared" si="10"/>
        <v>5.5807013254590893E-2</v>
      </c>
    </row>
    <row r="68" spans="1:9" ht="13.75" x14ac:dyDescent="0.2">
      <c r="A68" s="232">
        <f>A67+365</f>
        <v>42420</v>
      </c>
      <c r="B68" s="233">
        <f t="shared" si="11"/>
        <v>6</v>
      </c>
      <c r="C68" s="16">
        <v>74.2</v>
      </c>
      <c r="D68" s="121" t="s">
        <v>1239</v>
      </c>
      <c r="E68" s="234">
        <f t="shared" si="9"/>
        <v>5.0991852057019171E-2</v>
      </c>
      <c r="F68" s="235">
        <f t="shared" si="10"/>
        <v>5.6791852057019171E-2</v>
      </c>
    </row>
    <row r="69" spans="1:9" ht="13.75" x14ac:dyDescent="0.2">
      <c r="A69" s="232">
        <f>A68+366</f>
        <v>42786</v>
      </c>
      <c r="B69" s="233">
        <f t="shared" si="11"/>
        <v>7</v>
      </c>
      <c r="C69" s="9">
        <v>70.13</v>
      </c>
      <c r="D69" s="121" t="s">
        <v>1240</v>
      </c>
      <c r="E69" s="234">
        <f t="shared" si="9"/>
        <v>5.1995149273845964E-2</v>
      </c>
      <c r="F69" s="235">
        <f t="shared" si="10"/>
        <v>5.7795149273845964E-2</v>
      </c>
    </row>
    <row r="70" spans="1:9" ht="13.75" x14ac:dyDescent="0.2">
      <c r="A70" s="236" t="s">
        <v>1241</v>
      </c>
      <c r="B70" s="233"/>
      <c r="D70" s="121"/>
      <c r="E70" s="237"/>
      <c r="F70" s="238"/>
    </row>
    <row r="72" spans="1:9" ht="13.75" x14ac:dyDescent="0.2">
      <c r="A72" s="239" t="s">
        <v>1258</v>
      </c>
      <c r="B72" s="162">
        <v>5.7999999999999996E-3</v>
      </c>
    </row>
    <row r="73" spans="1:9" ht="13.75" x14ac:dyDescent="0.2">
      <c r="B73" s="162"/>
    </row>
    <row r="74" spans="1:9" ht="13.75" x14ac:dyDescent="0.2">
      <c r="A74" s="9" t="s">
        <v>801</v>
      </c>
      <c r="B74" s="9">
        <f t="shared" ref="B74:I75" si="12">B12</f>
        <v>0</v>
      </c>
      <c r="C74" s="9">
        <f t="shared" si="12"/>
        <v>1</v>
      </c>
      <c r="D74" s="9">
        <f t="shared" si="12"/>
        <v>2</v>
      </c>
      <c r="E74" s="9">
        <f t="shared" si="12"/>
        <v>3</v>
      </c>
      <c r="F74" s="9">
        <f t="shared" si="12"/>
        <v>4</v>
      </c>
      <c r="G74" s="9">
        <f t="shared" si="12"/>
        <v>5</v>
      </c>
      <c r="H74" s="9">
        <f t="shared" si="12"/>
        <v>6</v>
      </c>
      <c r="I74" s="9">
        <f t="shared" si="12"/>
        <v>7</v>
      </c>
    </row>
    <row r="75" spans="1:9" ht="13.75" x14ac:dyDescent="0.2">
      <c r="A75" s="9" t="s">
        <v>1259</v>
      </c>
      <c r="B75" s="221"/>
      <c r="C75" s="221">
        <f t="shared" si="12"/>
        <v>5.5E-2</v>
      </c>
      <c r="D75" s="221">
        <f t="shared" si="12"/>
        <v>5.5E-2</v>
      </c>
      <c r="E75" s="221">
        <f t="shared" si="12"/>
        <v>5.5E-2</v>
      </c>
      <c r="F75" s="221">
        <f t="shared" si="12"/>
        <v>5.5E-2</v>
      </c>
      <c r="G75" s="221">
        <f t="shared" si="12"/>
        <v>5.5E-2</v>
      </c>
      <c r="H75" s="221">
        <f t="shared" si="12"/>
        <v>5.5E-2</v>
      </c>
      <c r="I75" s="221">
        <f t="shared" si="12"/>
        <v>1.0549999999999999</v>
      </c>
    </row>
    <row r="76" spans="1:9" ht="13.75" x14ac:dyDescent="0.2">
      <c r="A76" s="9" t="s">
        <v>532</v>
      </c>
      <c r="B76" s="221"/>
      <c r="C76" s="221">
        <f t="shared" ref="C76:I76" si="13">C75/POWER(1+VLOOKUP(C74,$B63:$E69,4,FALSE)+$B$72,C74)</f>
        <v>5.2643617008052548E-2</v>
      </c>
      <c r="D76" s="221">
        <f t="shared" si="13"/>
        <v>4.9998397252719491E-2</v>
      </c>
      <c r="E76" s="221">
        <f t="shared" si="13"/>
        <v>4.7268328481858024E-2</v>
      </c>
      <c r="F76" s="221">
        <f t="shared" si="13"/>
        <v>4.4599457447744822E-2</v>
      </c>
      <c r="G76" s="221">
        <f t="shared" si="13"/>
        <v>4.1921805336454294E-2</v>
      </c>
      <c r="H76" s="221">
        <f t="shared" si="13"/>
        <v>3.948443723182516E-2</v>
      </c>
      <c r="I76" s="221">
        <f t="shared" si="13"/>
        <v>0.71193683184322532</v>
      </c>
    </row>
    <row r="77" spans="1:9" ht="13.75" x14ac:dyDescent="0.2">
      <c r="A77" s="13" t="s">
        <v>1260</v>
      </c>
      <c r="B77" s="163">
        <f>SUM(B76:I76)</f>
        <v>0.98785287460187965</v>
      </c>
    </row>
  </sheetData>
  <pageMargins left="0.7" right="0.7" top="0.75" bottom="0.75" header="0.3" footer="0.3"/>
  <pageSetup paperSize="9" scale="49" fitToHeight="0" orientation="portrait" r:id="rId1"/>
  <ignoredErrors>
    <ignoredError sqref="E11 A65" formula="1"/>
  </ignoredError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45"/>
  <sheetViews>
    <sheetView showGridLines="0" workbookViewId="0">
      <selection activeCell="C20" sqref="C20"/>
    </sheetView>
  </sheetViews>
  <sheetFormatPr baseColWidth="10" defaultColWidth="10.6640625" defaultRowHeight="14" x14ac:dyDescent="0.15"/>
  <cols>
    <col min="1" max="1" width="18.6640625" style="9" bestFit="1" customWidth="1"/>
    <col min="2" max="2" width="16.6640625" style="9" bestFit="1" customWidth="1"/>
    <col min="3" max="5" width="10.6640625" style="9"/>
    <col min="6" max="6" width="17.1640625" style="9" customWidth="1"/>
    <col min="7" max="16384" width="10.6640625" style="9"/>
  </cols>
  <sheetData>
    <row r="1" spans="1:6" x14ac:dyDescent="0.15">
      <c r="A1" s="32" t="s">
        <v>40</v>
      </c>
    </row>
    <row r="2" spans="1:6" x14ac:dyDescent="0.15">
      <c r="A2" s="32"/>
    </row>
    <row r="3" spans="1:6" x14ac:dyDescent="0.15">
      <c r="A3" s="9" t="s">
        <v>117</v>
      </c>
      <c r="B3" s="9">
        <v>500</v>
      </c>
      <c r="C3" s="9" t="s">
        <v>813</v>
      </c>
    </row>
    <row r="4" spans="1:6" x14ac:dyDescent="0.15">
      <c r="A4" s="9" t="s">
        <v>108</v>
      </c>
      <c r="B4" s="9">
        <v>33.299999999999997</v>
      </c>
      <c r="C4" s="9" t="s">
        <v>813</v>
      </c>
    </row>
    <row r="5" spans="1:6" x14ac:dyDescent="0.15">
      <c r="A5" s="9" t="s">
        <v>109</v>
      </c>
      <c r="B5" s="104">
        <v>0.25</v>
      </c>
    </row>
    <row r="6" spans="1:6" x14ac:dyDescent="0.15">
      <c r="A6" s="9" t="s">
        <v>110</v>
      </c>
      <c r="B6" s="104">
        <v>0.15</v>
      </c>
    </row>
    <row r="8" spans="1:6" x14ac:dyDescent="0.15">
      <c r="A8" s="9" t="s">
        <v>801</v>
      </c>
      <c r="B8" s="9">
        <v>0</v>
      </c>
      <c r="C8" s="9">
        <v>1</v>
      </c>
      <c r="D8" s="9">
        <v>2</v>
      </c>
      <c r="E8" s="9">
        <v>3</v>
      </c>
      <c r="F8" s="9">
        <v>3</v>
      </c>
    </row>
    <row r="9" spans="1:6" x14ac:dyDescent="0.15">
      <c r="A9" s="9" t="s">
        <v>1127</v>
      </c>
      <c r="B9" s="16">
        <f>-B3</f>
        <v>-500</v>
      </c>
      <c r="C9" s="16">
        <f>$B4*$B5*POWER(1+$B6,C8)</f>
        <v>9.5737499999999986</v>
      </c>
      <c r="D9" s="16">
        <f>$B4*$B5*POWER(1+$B6,D8)</f>
        <v>11.009812499999997</v>
      </c>
      <c r="E9" s="16">
        <f>$B4*$B5*POWER(1+$B6,E8)</f>
        <v>12.661284374999996</v>
      </c>
      <c r="F9" s="16">
        <f>B14</f>
        <v>665.46241362500018</v>
      </c>
    </row>
    <row r="10" spans="1:6" x14ac:dyDescent="0.15">
      <c r="A10" s="9" t="s">
        <v>1028</v>
      </c>
      <c r="B10" s="104">
        <v>0.12</v>
      </c>
    </row>
    <row r="11" spans="1:6" x14ac:dyDescent="0.15">
      <c r="A11" s="9" t="s">
        <v>111</v>
      </c>
      <c r="B11" s="16">
        <f>B9/POWER(1+$B10,B8)</f>
        <v>-500</v>
      </c>
      <c r="C11" s="16">
        <f>C9/POWER(1+$B10,C8)</f>
        <v>8.5479910714285694</v>
      </c>
      <c r="D11" s="16">
        <f>D9/POWER(1+$B10,D8)</f>
        <v>8.7769551179846896</v>
      </c>
      <c r="E11" s="16">
        <f>E9/POWER(1+$B10,E8)</f>
        <v>9.0120521300735632</v>
      </c>
      <c r="F11" s="16">
        <f>F9/POWER(1+$B10,F8)</f>
        <v>473.66300168051316</v>
      </c>
    </row>
    <row r="12" spans="1:6" x14ac:dyDescent="0.15">
      <c r="A12" s="9" t="s">
        <v>1075</v>
      </c>
      <c r="B12" s="9">
        <f>SUM(B11:F11)</f>
        <v>0</v>
      </c>
    </row>
    <row r="14" spans="1:6" ht="15" x14ac:dyDescent="0.15">
      <c r="A14" s="12" t="s">
        <v>112</v>
      </c>
      <c r="B14" s="16">
        <v>665.46241362500018</v>
      </c>
    </row>
    <row r="15" spans="1:6" ht="15" x14ac:dyDescent="0.15">
      <c r="A15" s="12" t="s">
        <v>113</v>
      </c>
      <c r="B15" s="16">
        <f>E9/B5</f>
        <v>50.645137499999983</v>
      </c>
    </row>
    <row r="16" spans="1:6" x14ac:dyDescent="0.15">
      <c r="A16" s="13" t="s">
        <v>114</v>
      </c>
      <c r="B16" s="223">
        <f>B14/B15</f>
        <v>13.139709880835063</v>
      </c>
    </row>
    <row r="18" spans="1:11" x14ac:dyDescent="0.15">
      <c r="A18" s="32" t="s">
        <v>974</v>
      </c>
    </row>
    <row r="19" spans="1:11" x14ac:dyDescent="0.15">
      <c r="A19" s="32"/>
      <c r="C19" s="471" t="s">
        <v>108</v>
      </c>
      <c r="D19" s="472"/>
      <c r="E19" s="472"/>
      <c r="F19" s="190"/>
      <c r="G19" s="106"/>
    </row>
    <row r="20" spans="1:11" ht="15" x14ac:dyDescent="0.15">
      <c r="A20" s="256" t="s">
        <v>1262</v>
      </c>
      <c r="B20" s="257" t="s">
        <v>1263</v>
      </c>
      <c r="C20" s="258"/>
      <c r="D20" s="258"/>
      <c r="E20" s="258"/>
      <c r="F20" s="257" t="s">
        <v>1343</v>
      </c>
      <c r="G20" s="257" t="s">
        <v>657</v>
      </c>
      <c r="H20" s="257" t="s">
        <v>115</v>
      </c>
      <c r="I20" s="257" t="s">
        <v>118</v>
      </c>
      <c r="J20" s="257" t="s">
        <v>116</v>
      </c>
      <c r="K20" s="259" t="s">
        <v>1344</v>
      </c>
    </row>
    <row r="21" spans="1:11" x14ac:dyDescent="0.15">
      <c r="A21" s="190"/>
      <c r="B21" s="244"/>
      <c r="C21" s="256">
        <v>2012</v>
      </c>
      <c r="D21" s="258">
        <v>2013</v>
      </c>
      <c r="E21" s="258">
        <v>2014</v>
      </c>
      <c r="F21" s="244"/>
      <c r="G21" s="244"/>
      <c r="H21" s="244"/>
      <c r="I21" s="244"/>
      <c r="J21" s="244"/>
      <c r="K21" s="245"/>
    </row>
    <row r="22" spans="1:11" x14ac:dyDescent="0.15">
      <c r="A22" s="190" t="s">
        <v>1264</v>
      </c>
      <c r="B22" s="244">
        <v>11.5</v>
      </c>
      <c r="C22" s="220">
        <v>-0.2</v>
      </c>
      <c r="D22" s="220">
        <v>-0.95</v>
      </c>
      <c r="E22" s="220">
        <v>0.33</v>
      </c>
      <c r="F22" s="244" t="s">
        <v>1342</v>
      </c>
      <c r="G22" s="244">
        <v>1.32</v>
      </c>
      <c r="H22" s="260">
        <v>0.42</v>
      </c>
      <c r="I22" s="261">
        <v>1.2999999999999999E-2</v>
      </c>
      <c r="J22" s="244">
        <v>20.2</v>
      </c>
      <c r="K22" s="262">
        <f>B22/E22</f>
        <v>34.848484848484844</v>
      </c>
    </row>
    <row r="23" spans="1:11" x14ac:dyDescent="0.15">
      <c r="A23" s="190" t="s">
        <v>1340</v>
      </c>
      <c r="B23" s="244">
        <v>21.9</v>
      </c>
      <c r="C23" s="220">
        <v>2.2799999999999998</v>
      </c>
      <c r="D23" s="220">
        <v>1.94</v>
      </c>
      <c r="E23" s="220">
        <v>1.72</v>
      </c>
      <c r="F23" s="263">
        <f>(E23/C23)^0.5-1</f>
        <v>-0.13144604950971484</v>
      </c>
      <c r="G23" s="244">
        <v>0.9</v>
      </c>
      <c r="H23" s="260">
        <v>0.87</v>
      </c>
      <c r="I23" s="261">
        <v>6.9000000000000006E-2</v>
      </c>
      <c r="J23" s="244">
        <v>9.5</v>
      </c>
      <c r="K23" s="262">
        <f t="shared" ref="K23:K24" si="0">B23/E23</f>
        <v>12.732558139534882</v>
      </c>
    </row>
    <row r="24" spans="1:11" x14ac:dyDescent="0.15">
      <c r="A24" s="190" t="s">
        <v>1341</v>
      </c>
      <c r="B24" s="244">
        <v>233</v>
      </c>
      <c r="C24" s="220">
        <v>7</v>
      </c>
      <c r="D24" s="220">
        <v>7.6</v>
      </c>
      <c r="E24" s="220">
        <v>8.3000000000000007</v>
      </c>
      <c r="F24" s="263">
        <f>(E24/C24)^0.5-1</f>
        <v>8.890508572340039E-2</v>
      </c>
      <c r="G24" s="244">
        <v>0.79</v>
      </c>
      <c r="H24" s="260">
        <v>0.37</v>
      </c>
      <c r="I24" s="261">
        <v>1.2999999999999999E-2</v>
      </c>
      <c r="J24" s="244">
        <v>32</v>
      </c>
      <c r="K24" s="262">
        <f t="shared" si="0"/>
        <v>28.072289156626503</v>
      </c>
    </row>
    <row r="25" spans="1:11" x14ac:dyDescent="0.15">
      <c r="B25" s="16"/>
    </row>
    <row r="26" spans="1:11" x14ac:dyDescent="0.15">
      <c r="A26" s="9" t="s">
        <v>106</v>
      </c>
      <c r="B26" s="164">
        <v>3.0000000000000001E-3</v>
      </c>
    </row>
    <row r="27" spans="1:11" x14ac:dyDescent="0.15">
      <c r="A27" s="9" t="s">
        <v>119</v>
      </c>
      <c r="B27" s="164">
        <v>8.2000000000000003E-2</v>
      </c>
    </row>
    <row r="28" spans="1:11" x14ac:dyDescent="0.15">
      <c r="B28" s="16"/>
    </row>
    <row r="29" spans="1:11" x14ac:dyDescent="0.15">
      <c r="A29" s="29"/>
      <c r="B29" s="246" t="s">
        <v>120</v>
      </c>
      <c r="C29" s="240" t="s">
        <v>121</v>
      </c>
      <c r="D29" s="246" t="s">
        <v>115</v>
      </c>
      <c r="E29" s="240" t="s">
        <v>817</v>
      </c>
      <c r="F29" s="246" t="s">
        <v>122</v>
      </c>
      <c r="G29" s="240" t="s">
        <v>1267</v>
      </c>
    </row>
    <row r="30" spans="1:11" x14ac:dyDescent="0.15">
      <c r="A30" s="190" t="str">
        <f>A22</f>
        <v>Arcelor Mittal</v>
      </c>
      <c r="B30" s="247" t="s">
        <v>1342</v>
      </c>
      <c r="C30" s="121" t="s">
        <v>124</v>
      </c>
      <c r="D30" s="244" t="s">
        <v>1265</v>
      </c>
      <c r="E30" s="116">
        <f>B22/J22</f>
        <v>0.56930693069306937</v>
      </c>
      <c r="F30" s="248" t="s">
        <v>562</v>
      </c>
      <c r="G30" s="249">
        <f>D22/J22</f>
        <v>-4.702970297029703E-2</v>
      </c>
    </row>
    <row r="31" spans="1:11" x14ac:dyDescent="0.15">
      <c r="A31" s="190" t="str">
        <f>A23</f>
        <v xml:space="preserve">Belgacom </v>
      </c>
      <c r="B31" s="244" t="s">
        <v>1266</v>
      </c>
      <c r="C31" s="121" t="s">
        <v>1265</v>
      </c>
      <c r="D31" s="244" t="s">
        <v>124</v>
      </c>
      <c r="E31" s="116">
        <f>B23/J23</f>
        <v>2.3052631578947369</v>
      </c>
      <c r="F31" s="248" t="s">
        <v>561</v>
      </c>
      <c r="G31" s="249">
        <f>D23/J23</f>
        <v>0.20421052631578948</v>
      </c>
    </row>
    <row r="32" spans="1:11" x14ac:dyDescent="0.15">
      <c r="A32" s="190" t="str">
        <f>A24</f>
        <v>Hermes</v>
      </c>
      <c r="B32" s="244" t="s">
        <v>125</v>
      </c>
      <c r="C32" s="121" t="s">
        <v>1265</v>
      </c>
      <c r="D32" s="244" t="s">
        <v>126</v>
      </c>
      <c r="E32" s="116">
        <f>B24/J24</f>
        <v>7.28125</v>
      </c>
      <c r="F32" s="248" t="s">
        <v>1232</v>
      </c>
      <c r="G32" s="249">
        <f>D24/J24</f>
        <v>0.23749999999999999</v>
      </c>
    </row>
    <row r="34" spans="1:5" x14ac:dyDescent="0.15">
      <c r="A34" s="32" t="s">
        <v>984</v>
      </c>
    </row>
    <row r="35" spans="1:5" x14ac:dyDescent="0.15">
      <c r="A35" s="32"/>
    </row>
    <row r="36" spans="1:5" x14ac:dyDescent="0.15">
      <c r="A36" s="250" t="s">
        <v>68</v>
      </c>
      <c r="B36" s="240" t="s">
        <v>498</v>
      </c>
      <c r="C36" s="240" t="s">
        <v>499</v>
      </c>
      <c r="D36" s="240" t="s">
        <v>500</v>
      </c>
      <c r="E36" s="240" t="s">
        <v>501</v>
      </c>
    </row>
    <row r="37" spans="1:5" x14ac:dyDescent="0.15">
      <c r="A37" s="251" t="s">
        <v>127</v>
      </c>
      <c r="B37" s="121">
        <v>10</v>
      </c>
      <c r="C37" s="121">
        <v>25</v>
      </c>
      <c r="D37" s="121">
        <v>7</v>
      </c>
      <c r="E37" s="121">
        <v>50</v>
      </c>
    </row>
    <row r="38" spans="1:5" x14ac:dyDescent="0.15">
      <c r="A38" s="251" t="s">
        <v>128</v>
      </c>
      <c r="B38" s="241">
        <v>0.95</v>
      </c>
      <c r="C38" s="241">
        <v>0.2</v>
      </c>
      <c r="D38" s="241">
        <v>0.2</v>
      </c>
      <c r="E38" s="252" t="s">
        <v>130</v>
      </c>
    </row>
    <row r="39" spans="1:5" x14ac:dyDescent="0.15">
      <c r="A39" s="251" t="s">
        <v>815</v>
      </c>
      <c r="B39" s="252" t="s">
        <v>126</v>
      </c>
      <c r="C39" s="241">
        <v>0.3</v>
      </c>
      <c r="D39" s="241">
        <v>0.05</v>
      </c>
      <c r="E39" s="241">
        <v>0.3</v>
      </c>
    </row>
    <row r="40" spans="1:5" x14ac:dyDescent="0.15">
      <c r="A40" s="251" t="s">
        <v>129</v>
      </c>
      <c r="B40" s="25">
        <v>0.15</v>
      </c>
      <c r="C40" s="253">
        <v>0.2</v>
      </c>
      <c r="D40" s="253">
        <v>0.25</v>
      </c>
      <c r="E40" s="253">
        <v>8</v>
      </c>
    </row>
    <row r="41" spans="1:5" x14ac:dyDescent="0.15">
      <c r="A41" s="254" t="s">
        <v>1267</v>
      </c>
      <c r="B41" s="241">
        <v>0.1</v>
      </c>
      <c r="C41" s="241">
        <v>0.3</v>
      </c>
      <c r="D41" s="255">
        <f>D42/D37</f>
        <v>5.7142857142857148E-2</v>
      </c>
      <c r="E41" s="241">
        <v>0.9</v>
      </c>
    </row>
    <row r="42" spans="1:5" x14ac:dyDescent="0.15">
      <c r="A42" s="251" t="s">
        <v>817</v>
      </c>
      <c r="B42" s="121">
        <v>1</v>
      </c>
      <c r="C42" s="252">
        <f>C37*C41</f>
        <v>7.5</v>
      </c>
      <c r="D42" s="121">
        <v>0.4</v>
      </c>
      <c r="E42" s="121">
        <v>45</v>
      </c>
    </row>
    <row r="44" spans="1:5" x14ac:dyDescent="0.15">
      <c r="A44" s="9" t="s">
        <v>817</v>
      </c>
      <c r="B44" s="9">
        <f>B37*B41</f>
        <v>1</v>
      </c>
      <c r="C44" s="9">
        <f>C37*C41</f>
        <v>7.5</v>
      </c>
      <c r="D44" s="9">
        <f>D37*D41</f>
        <v>0.4</v>
      </c>
      <c r="E44" s="9">
        <f>E37*E41</f>
        <v>45</v>
      </c>
    </row>
    <row r="45" spans="1:5" x14ac:dyDescent="0.15">
      <c r="A45" s="9" t="s">
        <v>123</v>
      </c>
      <c r="B45" s="202">
        <f>B42/B37</f>
        <v>0.1</v>
      </c>
      <c r="C45" s="202">
        <f>C42/C37</f>
        <v>0.3</v>
      </c>
      <c r="D45" s="202">
        <f>D42/D37</f>
        <v>5.7142857142857148E-2</v>
      </c>
      <c r="E45" s="202">
        <f>E42/E37</f>
        <v>0.9</v>
      </c>
    </row>
  </sheetData>
  <mergeCells count="1">
    <mergeCell ref="C19:E19"/>
  </mergeCells>
  <phoneticPr fontId="4" type="noConversion"/>
  <pageMargins left="0.7" right="0.7" top="0.75" bottom="0.75" header="0.3" footer="0.3"/>
  <pageSetup paperSize="9" scale="55" fitToHeight="0" orientation="portrait" r:id="rId1"/>
  <drawing r:id="rId2"/>
  <legacyDrawing r:id="rId3"/>
  <oleObjects>
    <mc:AlternateContent xmlns:mc="http://schemas.openxmlformats.org/markup-compatibility/2006">
      <mc:Choice Requires="x14">
        <oleObject progId="Equation.DSMT4" shapeId="24789" r:id="rId4">
          <objectPr defaultSize="0" autoPict="0" r:id="rId5">
            <anchor moveWithCells="1" sizeWithCells="1">
              <from>
                <xdr:col>5</xdr:col>
                <xdr:colOff>0</xdr:colOff>
                <xdr:row>20</xdr:row>
                <xdr:rowOff>0</xdr:rowOff>
              </from>
              <to>
                <xdr:col>5</xdr:col>
                <xdr:colOff>114300</xdr:colOff>
                <xdr:row>20</xdr:row>
                <xdr:rowOff>0</xdr:rowOff>
              </to>
            </anchor>
          </objectPr>
        </oleObject>
      </mc:Choice>
      <mc:Fallback>
        <oleObject progId="Equation.DSMT4" shapeId="24789" r:id="rId4"/>
      </mc:Fallback>
    </mc:AlternateContent>
  </oleObject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43"/>
  <sheetViews>
    <sheetView showGridLines="0" workbookViewId="0">
      <selection activeCell="C20" sqref="C20"/>
    </sheetView>
  </sheetViews>
  <sheetFormatPr baseColWidth="10" defaultColWidth="10.6640625" defaultRowHeight="14" x14ac:dyDescent="0.15"/>
  <cols>
    <col min="1" max="1" width="18.1640625" style="9" customWidth="1"/>
    <col min="2" max="16384" width="10.6640625" style="9"/>
  </cols>
  <sheetData>
    <row r="1" spans="1:4" x14ac:dyDescent="0.15">
      <c r="A1" s="32" t="s">
        <v>41</v>
      </c>
    </row>
    <row r="2" spans="1:4" x14ac:dyDescent="0.15">
      <c r="A2" s="32"/>
    </row>
    <row r="3" spans="1:4" x14ac:dyDescent="0.15">
      <c r="A3" s="9" t="s">
        <v>131</v>
      </c>
      <c r="B3" s="27" t="s">
        <v>831</v>
      </c>
      <c r="C3" s="27" t="s">
        <v>830</v>
      </c>
    </row>
    <row r="4" spans="1:4" x14ac:dyDescent="0.15">
      <c r="A4" s="9" t="s">
        <v>132</v>
      </c>
      <c r="B4" s="9">
        <v>4</v>
      </c>
      <c r="C4" s="9">
        <v>6</v>
      </c>
      <c r="D4" s="9" t="s">
        <v>384</v>
      </c>
    </row>
    <row r="5" spans="1:4" x14ac:dyDescent="0.15">
      <c r="A5" s="9" t="s">
        <v>133</v>
      </c>
      <c r="B5" s="9">
        <v>630</v>
      </c>
      <c r="C5" s="9">
        <v>600</v>
      </c>
      <c r="D5" s="9" t="s">
        <v>957</v>
      </c>
    </row>
    <row r="6" spans="1:4" x14ac:dyDescent="0.15">
      <c r="A6" s="9" t="s">
        <v>134</v>
      </c>
      <c r="B6" s="9">
        <v>600</v>
      </c>
      <c r="C6" s="9">
        <f>B6</f>
        <v>600</v>
      </c>
      <c r="D6" s="9" t="s">
        <v>957</v>
      </c>
    </row>
    <row r="7" spans="1:4" ht="16" x14ac:dyDescent="0.15">
      <c r="A7" s="9" t="s">
        <v>1345</v>
      </c>
      <c r="B7" s="104">
        <v>0.03</v>
      </c>
      <c r="C7" s="104">
        <f>B7</f>
        <v>0.03</v>
      </c>
    </row>
    <row r="8" spans="1:4" x14ac:dyDescent="0.15">
      <c r="B8" s="104"/>
    </row>
    <row r="9" spans="1:4" x14ac:dyDescent="0.15">
      <c r="A9" s="215" t="s">
        <v>136</v>
      </c>
      <c r="B9" s="104"/>
      <c r="C9" s="215"/>
    </row>
    <row r="10" spans="1:4" x14ac:dyDescent="0.15">
      <c r="A10" s="9" t="s">
        <v>822</v>
      </c>
      <c r="B10" s="9">
        <f>B4/12</f>
        <v>0.33333333333333331</v>
      </c>
      <c r="C10" s="9">
        <f>C4/12</f>
        <v>0.5</v>
      </c>
    </row>
    <row r="11" spans="1:4" x14ac:dyDescent="0.15">
      <c r="A11" s="9" t="s">
        <v>825</v>
      </c>
      <c r="B11" s="123">
        <f>LN(B6/B5)</f>
        <v>-4.8790164169432056E-2</v>
      </c>
      <c r="C11" s="123">
        <f>LN(C6/C5)</f>
        <v>0</v>
      </c>
    </row>
    <row r="12" spans="1:4" ht="16" x14ac:dyDescent="0.15">
      <c r="A12" s="9" t="s">
        <v>1346</v>
      </c>
      <c r="B12" s="164">
        <f>(B7+B21*B21/2)*B10</f>
        <v>2.3985270162750334E-2</v>
      </c>
      <c r="C12" s="164">
        <f>(C7+C21*C21/2)*C10</f>
        <v>3.5977905244125502E-2</v>
      </c>
    </row>
    <row r="13" spans="1:4" x14ac:dyDescent="0.15">
      <c r="A13" s="9" t="s">
        <v>827</v>
      </c>
      <c r="B13" s="164">
        <f>B21*SQRT(B10)</f>
        <v>0.16724395452601767</v>
      </c>
      <c r="C13" s="164">
        <f>C21*SQRT(C10)</f>
        <v>0.20483117557698832</v>
      </c>
    </row>
    <row r="15" spans="1:4" x14ac:dyDescent="0.15">
      <c r="A15" s="9" t="s">
        <v>823</v>
      </c>
      <c r="B15" s="105">
        <f>(B11+B12)/B13</f>
        <v>-0.14831563913314963</v>
      </c>
      <c r="C15" s="105">
        <f>(C11+C12)/C13</f>
        <v>0.17564662773027323</v>
      </c>
    </row>
    <row r="16" spans="1:4" x14ac:dyDescent="0.15">
      <c r="A16" s="9" t="s">
        <v>824</v>
      </c>
      <c r="B16" s="104">
        <f>B15-B13</f>
        <v>-0.3155595936591673</v>
      </c>
      <c r="C16" s="104">
        <f>C15-C13</f>
        <v>-2.9184547846715092E-2</v>
      </c>
    </row>
    <row r="17" spans="1:4" x14ac:dyDescent="0.15">
      <c r="A17" s="9" t="s">
        <v>821</v>
      </c>
      <c r="B17" s="16">
        <f>NORMDIST(B15,0,1,TRUE)</f>
        <v>0.4410468368078061</v>
      </c>
      <c r="C17" s="16">
        <f>NORMDIST(C15,0,1,TRUE)</f>
        <v>0.56971421592532534</v>
      </c>
    </row>
    <row r="18" spans="1:4" x14ac:dyDescent="0.15">
      <c r="A18" s="9" t="s">
        <v>820</v>
      </c>
      <c r="B18" s="16">
        <f>NORMDIST(B16,0,1,TRUE)</f>
        <v>0.37616840560604003</v>
      </c>
      <c r="C18" s="16">
        <f>NORMDIST(C16,0,1,TRUE)</f>
        <v>0.48835870250858371</v>
      </c>
    </row>
    <row r="19" spans="1:4" x14ac:dyDescent="0.15">
      <c r="A19" s="9" t="s">
        <v>828</v>
      </c>
      <c r="B19" s="16">
        <f>EXP(-B10*B7)</f>
        <v>0.99004983374916811</v>
      </c>
      <c r="C19" s="16">
        <f>EXP(-C10*C7)</f>
        <v>0.98511193960306265</v>
      </c>
    </row>
    <row r="20" spans="1:4" x14ac:dyDescent="0.15">
      <c r="A20" s="13" t="s">
        <v>135</v>
      </c>
      <c r="B20" s="25">
        <f>B17*B6-B18*B5*B19</f>
        <v>30.000057602555387</v>
      </c>
      <c r="C20" s="264">
        <f>C17*C6-C18*C5*C19</f>
        <v>53.175736365035618</v>
      </c>
    </row>
    <row r="21" spans="1:4" x14ac:dyDescent="0.15">
      <c r="A21" s="13" t="s">
        <v>829</v>
      </c>
      <c r="B21" s="265">
        <v>0.28967502649780152</v>
      </c>
      <c r="C21" s="164">
        <f>B21</f>
        <v>0.28967502649780152</v>
      </c>
      <c r="D21" s="104"/>
    </row>
    <row r="23" spans="1:4" x14ac:dyDescent="0.15">
      <c r="A23" s="32" t="s">
        <v>507</v>
      </c>
    </row>
    <row r="24" spans="1:4" x14ac:dyDescent="0.15">
      <c r="A24" s="32"/>
    </row>
    <row r="25" spans="1:4" ht="45" x14ac:dyDescent="0.15">
      <c r="A25" s="12" t="s">
        <v>137</v>
      </c>
      <c r="B25" s="107" t="s">
        <v>1268</v>
      </c>
      <c r="C25" s="107" t="s">
        <v>1269</v>
      </c>
    </row>
    <row r="26" spans="1:4" x14ac:dyDescent="0.15">
      <c r="A26" s="9" t="s">
        <v>132</v>
      </c>
      <c r="B26" s="9">
        <v>6</v>
      </c>
      <c r="C26" s="9">
        <v>6</v>
      </c>
      <c r="D26" s="9" t="s">
        <v>384</v>
      </c>
    </row>
    <row r="27" spans="1:4" x14ac:dyDescent="0.15">
      <c r="A27" s="9" t="s">
        <v>133</v>
      </c>
      <c r="B27" s="9">
        <f>C5</f>
        <v>600</v>
      </c>
      <c r="C27" s="9">
        <f>B27</f>
        <v>600</v>
      </c>
      <c r="D27" s="9" t="s">
        <v>957</v>
      </c>
    </row>
    <row r="28" spans="1:4" x14ac:dyDescent="0.15">
      <c r="A28" s="9" t="s">
        <v>134</v>
      </c>
      <c r="B28" s="9">
        <v>700</v>
      </c>
      <c r="C28" s="9">
        <v>450</v>
      </c>
      <c r="D28" s="9" t="s">
        <v>957</v>
      </c>
    </row>
    <row r="29" spans="1:4" ht="16" x14ac:dyDescent="0.15">
      <c r="A29" s="9" t="s">
        <v>1345</v>
      </c>
      <c r="B29" s="104">
        <v>0.03</v>
      </c>
      <c r="C29" s="104">
        <f>B29</f>
        <v>0.03</v>
      </c>
    </row>
    <row r="30" spans="1:4" x14ac:dyDescent="0.15">
      <c r="B30" s="104"/>
    </row>
    <row r="31" spans="1:4" x14ac:dyDescent="0.15">
      <c r="A31" s="215" t="s">
        <v>136</v>
      </c>
      <c r="B31" s="104"/>
      <c r="C31" s="215"/>
    </row>
    <row r="32" spans="1:4" x14ac:dyDescent="0.15">
      <c r="A32" s="9" t="s">
        <v>822</v>
      </c>
      <c r="B32" s="9">
        <f>B26/12</f>
        <v>0.5</v>
      </c>
      <c r="C32" s="9">
        <f>C26/12</f>
        <v>0.5</v>
      </c>
    </row>
    <row r="33" spans="1:4" x14ac:dyDescent="0.15">
      <c r="A33" s="9" t="s">
        <v>825</v>
      </c>
      <c r="B33" s="123">
        <f>LN(B28/B27)</f>
        <v>0.15415067982725836</v>
      </c>
      <c r="C33" s="123">
        <f>LN(C28/C27)</f>
        <v>-0.2876820724517809</v>
      </c>
    </row>
    <row r="34" spans="1:4" x14ac:dyDescent="0.15">
      <c r="A34" s="9" t="s">
        <v>826</v>
      </c>
      <c r="B34" s="164">
        <f>(B29+B43*B43/2)*B32</f>
        <v>3.5977905244125502E-2</v>
      </c>
      <c r="C34" s="164">
        <f>(C29+C43*C43/2)*C32</f>
        <v>3.5977905244125502E-2</v>
      </c>
    </row>
    <row r="35" spans="1:4" x14ac:dyDescent="0.15">
      <c r="A35" s="9" t="s">
        <v>827</v>
      </c>
      <c r="B35" s="164">
        <f>B43*SQRT(B32)</f>
        <v>0.20483117557698832</v>
      </c>
      <c r="C35" s="164">
        <f>C43*SQRT(C32)</f>
        <v>0.20483117557698832</v>
      </c>
    </row>
    <row r="37" spans="1:4" x14ac:dyDescent="0.15">
      <c r="A37" s="9" t="s">
        <v>823</v>
      </c>
      <c r="B37" s="105">
        <f>(B33+B34)/B35</f>
        <v>0.92822093382909721</v>
      </c>
      <c r="C37" s="105">
        <f>(C33+C34)/C35</f>
        <v>-1.2288371948197374</v>
      </c>
    </row>
    <row r="38" spans="1:4" x14ac:dyDescent="0.15">
      <c r="A38" s="9" t="s">
        <v>824</v>
      </c>
      <c r="B38" s="104">
        <f>B37-B35</f>
        <v>0.72338975825210894</v>
      </c>
      <c r="C38" s="104">
        <f>C37-C35</f>
        <v>-1.4336683703967257</v>
      </c>
    </row>
    <row r="39" spans="1:4" x14ac:dyDescent="0.15">
      <c r="A39" s="9" t="s">
        <v>821</v>
      </c>
      <c r="B39" s="16">
        <f>NORMDIST(B37,0,1,TRUE)</f>
        <v>0.82335351115461108</v>
      </c>
      <c r="C39" s="16">
        <f>NORMDIST(C37,0,1,TRUE)</f>
        <v>0.10956642646085787</v>
      </c>
    </row>
    <row r="40" spans="1:4" x14ac:dyDescent="0.15">
      <c r="A40" s="9" t="s">
        <v>820</v>
      </c>
      <c r="B40" s="16">
        <f>NORMDIST(B38,0,1,TRUE)</f>
        <v>0.76527976916486995</v>
      </c>
      <c r="C40" s="16">
        <f>NORMDIST(C38,0,1,TRUE)</f>
        <v>7.5833461216180773E-2</v>
      </c>
    </row>
    <row r="41" spans="1:4" x14ac:dyDescent="0.15">
      <c r="A41" s="9" t="s">
        <v>828</v>
      </c>
      <c r="B41" s="16">
        <f>EXP(-B32*B29)</f>
        <v>0.98511193960306265</v>
      </c>
      <c r="C41" s="16">
        <f>EXP(-C32*C29)</f>
        <v>0.98511193960306265</v>
      </c>
    </row>
    <row r="42" spans="1:4" x14ac:dyDescent="0.15">
      <c r="A42" s="13" t="s">
        <v>135</v>
      </c>
      <c r="B42" s="264">
        <f>B39*B28-B40*B27*B41</f>
        <v>124.0157151636343</v>
      </c>
      <c r="C42" s="264">
        <f>C39*C28-C40*C27*C41</f>
        <v>4.4822230680947683</v>
      </c>
    </row>
    <row r="43" spans="1:4" x14ac:dyDescent="0.15">
      <c r="A43" s="9" t="s">
        <v>829</v>
      </c>
      <c r="B43" s="164">
        <f>C21</f>
        <v>0.28967502649780152</v>
      </c>
      <c r="C43" s="164">
        <f>B43</f>
        <v>0.28967502649780152</v>
      </c>
      <c r="D43" s="104"/>
    </row>
  </sheetData>
  <phoneticPr fontId="4" type="noConversion"/>
  <pageMargins left="0.7" right="0.7" top="0.75" bottom="0.75" header="0.3" footer="0.3"/>
  <pageSetup paperSize="9" scale="74" fitToHeight="0" orientation="portrait" r:id="rId1"/>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3"/>
  <sheetViews>
    <sheetView showGridLines="0" workbookViewId="0">
      <selection activeCell="C20" sqref="C20"/>
    </sheetView>
  </sheetViews>
  <sheetFormatPr baseColWidth="10" defaultColWidth="10.6640625" defaultRowHeight="14" x14ac:dyDescent="0.15"/>
  <cols>
    <col min="1" max="1" width="19.5" style="272" customWidth="1"/>
    <col min="2" max="4" width="14.5" style="9" bestFit="1" customWidth="1"/>
    <col min="5" max="16384" width="10.6640625" style="9"/>
  </cols>
  <sheetData>
    <row r="1" spans="1:4" x14ac:dyDescent="0.15">
      <c r="A1" s="273" t="s">
        <v>465</v>
      </c>
      <c r="B1" s="266"/>
    </row>
    <row r="2" spans="1:4" ht="60" x14ac:dyDescent="0.15">
      <c r="A2" s="273"/>
      <c r="B2" s="274" t="s">
        <v>149</v>
      </c>
      <c r="C2" s="274" t="s">
        <v>150</v>
      </c>
      <c r="D2" s="274" t="s">
        <v>151</v>
      </c>
    </row>
    <row r="3" spans="1:4" x14ac:dyDescent="0.15">
      <c r="A3" s="268" t="s">
        <v>300</v>
      </c>
      <c r="B3" s="266">
        <f>B4*B5</f>
        <v>4000000000</v>
      </c>
      <c r="C3" s="266">
        <f>B3</f>
        <v>4000000000</v>
      </c>
      <c r="D3" s="266">
        <f>C3</f>
        <v>4000000000</v>
      </c>
    </row>
    <row r="4" spans="1:4" x14ac:dyDescent="0.15">
      <c r="A4" s="275" t="s">
        <v>544</v>
      </c>
      <c r="B4" s="266">
        <v>2000000</v>
      </c>
      <c r="C4" s="266">
        <f t="shared" ref="C4:D9" si="0">B4</f>
        <v>2000000</v>
      </c>
      <c r="D4" s="266">
        <f>C4</f>
        <v>2000000</v>
      </c>
    </row>
    <row r="5" spans="1:4" x14ac:dyDescent="0.15">
      <c r="A5" s="275" t="s">
        <v>138</v>
      </c>
      <c r="B5" s="266">
        <v>2000</v>
      </c>
      <c r="C5" s="266">
        <f t="shared" si="0"/>
        <v>2000</v>
      </c>
      <c r="D5" s="266">
        <f t="shared" si="0"/>
        <v>2000</v>
      </c>
    </row>
    <row r="6" spans="1:4" x14ac:dyDescent="0.15">
      <c r="A6" s="268" t="s">
        <v>280</v>
      </c>
      <c r="B6" s="266">
        <f>B7*B8</f>
        <v>500000000</v>
      </c>
      <c r="C6" s="266">
        <f t="shared" si="0"/>
        <v>500000000</v>
      </c>
      <c r="D6" s="266">
        <f t="shared" si="0"/>
        <v>500000000</v>
      </c>
    </row>
    <row r="7" spans="1:4" x14ac:dyDescent="0.15">
      <c r="A7" s="275" t="s">
        <v>139</v>
      </c>
      <c r="B7" s="266">
        <v>500000</v>
      </c>
      <c r="C7" s="266">
        <f t="shared" si="0"/>
        <v>500000</v>
      </c>
      <c r="D7" s="266">
        <f t="shared" si="0"/>
        <v>500000</v>
      </c>
    </row>
    <row r="8" spans="1:4" x14ac:dyDescent="0.15">
      <c r="A8" s="275" t="s">
        <v>140</v>
      </c>
      <c r="B8" s="266">
        <v>1000</v>
      </c>
      <c r="C8" s="266">
        <f t="shared" si="0"/>
        <v>1000</v>
      </c>
      <c r="D8" s="266">
        <f t="shared" si="0"/>
        <v>1000</v>
      </c>
    </row>
    <row r="9" spans="1:4" x14ac:dyDescent="0.15">
      <c r="A9" s="275" t="s">
        <v>141</v>
      </c>
      <c r="B9" s="123">
        <v>0.05</v>
      </c>
      <c r="C9" s="123">
        <f t="shared" si="0"/>
        <v>0.05</v>
      </c>
      <c r="D9" s="123">
        <f t="shared" si="0"/>
        <v>0.05</v>
      </c>
    </row>
    <row r="10" spans="1:4" x14ac:dyDescent="0.15">
      <c r="A10" s="275" t="s">
        <v>147</v>
      </c>
      <c r="B10" s="123"/>
      <c r="C10" s="266">
        <v>2100</v>
      </c>
      <c r="D10" s="266">
        <f>C10</f>
        <v>2100</v>
      </c>
    </row>
    <row r="11" spans="1:4" x14ac:dyDescent="0.15">
      <c r="A11" s="275" t="s">
        <v>146</v>
      </c>
      <c r="B11" s="123"/>
      <c r="C11" s="123">
        <v>0.08</v>
      </c>
      <c r="D11" s="123">
        <f>C11</f>
        <v>0.08</v>
      </c>
    </row>
    <row r="12" spans="1:4" x14ac:dyDescent="0.15">
      <c r="A12" s="268"/>
      <c r="B12" s="266"/>
    </row>
    <row r="13" spans="1:4" x14ac:dyDescent="0.15">
      <c r="A13" s="268" t="s">
        <v>145</v>
      </c>
      <c r="B13" s="266">
        <v>300000000</v>
      </c>
      <c r="C13" s="266">
        <f>B13</f>
        <v>300000000</v>
      </c>
      <c r="D13" s="266">
        <f>C13</f>
        <v>300000000</v>
      </c>
    </row>
    <row r="14" spans="1:4" x14ac:dyDescent="0.15">
      <c r="A14" s="268" t="s">
        <v>221</v>
      </c>
      <c r="B14" s="123">
        <v>0.36699999999999999</v>
      </c>
      <c r="C14" s="164">
        <f>B14</f>
        <v>0.36699999999999999</v>
      </c>
      <c r="D14" s="164">
        <f>C14</f>
        <v>0.36699999999999999</v>
      </c>
    </row>
    <row r="15" spans="1:4" x14ac:dyDescent="0.15">
      <c r="A15" s="268"/>
      <c r="B15" s="266"/>
    </row>
    <row r="16" spans="1:4" x14ac:dyDescent="0.15">
      <c r="A16" s="269" t="s">
        <v>142</v>
      </c>
      <c r="B16" s="270">
        <f>(B13+B9*B8*B7*(1-B14))/(B4+B7)</f>
        <v>126.33</v>
      </c>
      <c r="C16" s="271">
        <f>(C13+C10*C7*C11*(1-C14))/(C4+C7)</f>
        <v>141.2688</v>
      </c>
      <c r="D16" s="270">
        <f>(D13)/(D4+D7*(1-D10/D5))</f>
        <v>151.8987341772152</v>
      </c>
    </row>
    <row r="17" spans="1:4" x14ac:dyDescent="0.15">
      <c r="A17" s="268"/>
      <c r="B17" s="266"/>
    </row>
    <row r="18" spans="1:4" x14ac:dyDescent="0.15">
      <c r="A18" s="268" t="s">
        <v>148</v>
      </c>
      <c r="B18" s="266"/>
    </row>
    <row r="19" spans="1:4" x14ac:dyDescent="0.15">
      <c r="A19" s="268" t="s">
        <v>141</v>
      </c>
      <c r="B19" s="266"/>
      <c r="C19" s="164">
        <v>0.08</v>
      </c>
      <c r="D19" s="164">
        <f>C19</f>
        <v>0.08</v>
      </c>
    </row>
    <row r="20" spans="1:4" x14ac:dyDescent="0.15">
      <c r="A20" s="268"/>
      <c r="B20" s="266"/>
    </row>
    <row r="21" spans="1:4" x14ac:dyDescent="0.15">
      <c r="A21" s="268" t="s">
        <v>143</v>
      </c>
      <c r="B21" s="266"/>
      <c r="C21" s="266">
        <f>(C19-C9)*C8*C7*(1-C14)</f>
        <v>9495000</v>
      </c>
      <c r="D21" s="266">
        <f>(D19-D9)*D8*D7*(1-D14)</f>
        <v>9495000</v>
      </c>
    </row>
    <row r="22" spans="1:4" x14ac:dyDescent="0.15">
      <c r="A22" s="268" t="s">
        <v>144</v>
      </c>
      <c r="B22" s="266"/>
      <c r="C22" s="270">
        <f>C21/(C4+C7)</f>
        <v>3.798</v>
      </c>
      <c r="D22" s="270">
        <f>D21/(D4+D7*(1-D10/D5))</f>
        <v>4.8075949367088606</v>
      </c>
    </row>
    <row r="23" spans="1:4" x14ac:dyDescent="0.15">
      <c r="A23" s="269" t="s">
        <v>108</v>
      </c>
      <c r="B23" s="266"/>
      <c r="C23" s="270">
        <f>C16+C22</f>
        <v>145.0668</v>
      </c>
      <c r="D23" s="270">
        <f>D16+D22</f>
        <v>156.70632911392406</v>
      </c>
    </row>
  </sheetData>
  <phoneticPr fontId="4" type="noConversion"/>
  <pageMargins left="0.7" right="0.7" top="0.75" bottom="0.75" header="0.3" footer="0.3"/>
  <pageSetup paperSize="9" fitToHeight="0"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Z166"/>
  <sheetViews>
    <sheetView showGridLines="0" zoomScale="85" zoomScaleNormal="85" zoomScalePageLayoutView="85" workbookViewId="0">
      <selection activeCell="C20" sqref="C20"/>
    </sheetView>
  </sheetViews>
  <sheetFormatPr baseColWidth="10" defaultColWidth="10.6640625" defaultRowHeight="14" x14ac:dyDescent="0.15"/>
  <cols>
    <col min="1" max="1" width="44.33203125" style="26" customWidth="1"/>
    <col min="2" max="2" width="12.6640625" style="49" bestFit="1" customWidth="1"/>
    <col min="3" max="3" width="15.6640625" style="26" customWidth="1"/>
    <col min="4" max="4" width="14.5" style="26" customWidth="1"/>
    <col min="5" max="5" width="15.5" style="26" customWidth="1"/>
    <col min="6" max="6" width="13.5" style="26" customWidth="1"/>
    <col min="7" max="7" width="13.5" style="26" bestFit="1" customWidth="1"/>
    <col min="8" max="9" width="10.6640625" style="26"/>
    <col min="10" max="10" width="11.6640625" style="26" bestFit="1" customWidth="1"/>
    <col min="11" max="16384" width="10.6640625" style="26"/>
  </cols>
  <sheetData>
    <row r="1" spans="1:9" ht="15" x14ac:dyDescent="0.15">
      <c r="A1" s="45" t="s">
        <v>740</v>
      </c>
      <c r="B1" s="46" t="s">
        <v>696</v>
      </c>
      <c r="C1" s="47" t="s">
        <v>696</v>
      </c>
    </row>
    <row r="2" spans="1:9" x14ac:dyDescent="0.15">
      <c r="A2" s="48" t="s">
        <v>174</v>
      </c>
      <c r="E2" s="48" t="s">
        <v>180</v>
      </c>
    </row>
    <row r="3" spans="1:9" x14ac:dyDescent="0.15">
      <c r="A3" s="26" t="s">
        <v>227</v>
      </c>
      <c r="B3" s="50">
        <f>J30</f>
        <v>340500</v>
      </c>
      <c r="C3" s="49"/>
      <c r="E3" s="26" t="s">
        <v>181</v>
      </c>
      <c r="G3" s="51">
        <f>I30*B43</f>
        <v>340500</v>
      </c>
    </row>
    <row r="4" spans="1:9" x14ac:dyDescent="0.15">
      <c r="A4" s="26" t="s">
        <v>176</v>
      </c>
      <c r="B4" s="50">
        <f>B5+B6</f>
        <v>19175</v>
      </c>
      <c r="C4" s="49"/>
      <c r="G4" s="52"/>
    </row>
    <row r="5" spans="1:9" s="55" customFormat="1" x14ac:dyDescent="0.15">
      <c r="A5" s="33" t="s">
        <v>459</v>
      </c>
      <c r="B5" s="53">
        <f>G30*B30</f>
        <v>14300</v>
      </c>
      <c r="C5" s="54"/>
      <c r="G5" s="56"/>
      <c r="I5" s="26"/>
    </row>
    <row r="6" spans="1:9" s="55" customFormat="1" x14ac:dyDescent="0.15">
      <c r="A6" s="33" t="s">
        <v>202</v>
      </c>
      <c r="B6" s="53">
        <f>G30/B42*B44</f>
        <v>4875</v>
      </c>
      <c r="C6" s="57"/>
      <c r="G6" s="56"/>
    </row>
    <row r="7" spans="1:9" x14ac:dyDescent="0.15">
      <c r="A7" s="58" t="s">
        <v>963</v>
      </c>
      <c r="B7" s="50">
        <f>B3+B4</f>
        <v>359675</v>
      </c>
      <c r="C7" s="49"/>
      <c r="G7" s="52"/>
      <c r="H7" s="26" t="s">
        <v>696</v>
      </c>
      <c r="I7" s="26" t="s">
        <v>696</v>
      </c>
    </row>
    <row r="8" spans="1:9" x14ac:dyDescent="0.15">
      <c r="A8" s="26" t="s">
        <v>45</v>
      </c>
      <c r="B8" s="50">
        <f>B9+B10+B11+B12</f>
        <v>354000</v>
      </c>
      <c r="C8" s="49"/>
      <c r="E8" s="26" t="s">
        <v>182</v>
      </c>
      <c r="G8" s="51">
        <f>G9+G10+G11</f>
        <v>339825</v>
      </c>
    </row>
    <row r="9" spans="1:9" s="55" customFormat="1" x14ac:dyDescent="0.15">
      <c r="A9" s="33" t="s">
        <v>184</v>
      </c>
      <c r="B9" s="53">
        <f>B44</f>
        <v>90000</v>
      </c>
      <c r="C9" s="54"/>
      <c r="E9" s="33" t="s">
        <v>184</v>
      </c>
      <c r="G9" s="59">
        <f>B9*I30/(I30+G30)</f>
        <v>85125</v>
      </c>
    </row>
    <row r="10" spans="1:9" s="55" customFormat="1" x14ac:dyDescent="0.15">
      <c r="A10" s="33" t="s">
        <v>191</v>
      </c>
      <c r="B10" s="53">
        <f>J31</f>
        <v>267050</v>
      </c>
      <c r="C10" s="54"/>
      <c r="E10" s="33" t="s">
        <v>183</v>
      </c>
      <c r="G10" s="59">
        <f>I30*SUM(B32:B39)</f>
        <v>249700</v>
      </c>
    </row>
    <row r="11" spans="1:9" s="55" customFormat="1" x14ac:dyDescent="0.15">
      <c r="A11" s="33" t="s">
        <v>192</v>
      </c>
      <c r="B11" s="53">
        <f>-H31</f>
        <v>-3050</v>
      </c>
      <c r="C11" s="54"/>
      <c r="E11" s="33" t="s">
        <v>179</v>
      </c>
      <c r="G11" s="59">
        <f>B15</f>
        <v>5000</v>
      </c>
    </row>
    <row r="12" spans="1:9" s="55" customFormat="1" x14ac:dyDescent="0.15">
      <c r="A12" s="33" t="s">
        <v>207</v>
      </c>
      <c r="B12" s="53">
        <f>B55*B56</f>
        <v>0</v>
      </c>
      <c r="C12" s="54"/>
      <c r="G12" s="56"/>
    </row>
    <row r="13" spans="1:9" x14ac:dyDescent="0.15">
      <c r="A13" s="58" t="s">
        <v>177</v>
      </c>
      <c r="B13" s="50">
        <f>B7-B8</f>
        <v>5675</v>
      </c>
      <c r="C13" s="49"/>
      <c r="G13" s="52"/>
    </row>
    <row r="14" spans="1:9" x14ac:dyDescent="0.15">
      <c r="A14" s="26" t="s">
        <v>178</v>
      </c>
      <c r="B14" s="50">
        <f>B15</f>
        <v>5000</v>
      </c>
      <c r="C14" s="49"/>
      <c r="G14" s="52"/>
    </row>
    <row r="15" spans="1:9" s="55" customFormat="1" x14ac:dyDescent="0.15">
      <c r="A15" s="33" t="s">
        <v>179</v>
      </c>
      <c r="B15" s="53">
        <f>B48/B51*(12-B56)/12</f>
        <v>5000</v>
      </c>
      <c r="C15" s="54"/>
      <c r="G15" s="56"/>
    </row>
    <row r="16" spans="1:9" x14ac:dyDescent="0.15">
      <c r="A16" s="26" t="s">
        <v>254</v>
      </c>
      <c r="B16" s="50">
        <v>0</v>
      </c>
      <c r="C16" s="49"/>
      <c r="G16" s="52"/>
    </row>
    <row r="17" spans="1:10" x14ac:dyDescent="0.15">
      <c r="A17" s="58" t="s">
        <v>346</v>
      </c>
      <c r="B17" s="50">
        <f>B13-B14-B16</f>
        <v>675</v>
      </c>
      <c r="C17" s="49"/>
      <c r="E17" s="58" t="s">
        <v>346</v>
      </c>
      <c r="G17" s="51">
        <f>G3-G8</f>
        <v>675</v>
      </c>
    </row>
    <row r="18" spans="1:10" x14ac:dyDescent="0.15">
      <c r="A18" s="26" t="s">
        <v>194</v>
      </c>
      <c r="C18" s="49"/>
      <c r="D18" s="50">
        <f>D19</f>
        <v>600</v>
      </c>
    </row>
    <row r="19" spans="1:10" s="55" customFormat="1" x14ac:dyDescent="0.15">
      <c r="A19" s="33" t="s">
        <v>195</v>
      </c>
      <c r="C19" s="54"/>
      <c r="D19" s="53">
        <f>$B58*$B59*B60/12</f>
        <v>600</v>
      </c>
    </row>
    <row r="20" spans="1:10" x14ac:dyDescent="0.15">
      <c r="A20" s="58" t="s">
        <v>1203</v>
      </c>
      <c r="C20" s="49"/>
      <c r="D20" s="50">
        <f>B17-D18</f>
        <v>75</v>
      </c>
    </row>
    <row r="21" spans="1:10" x14ac:dyDescent="0.15">
      <c r="A21" s="26" t="s">
        <v>196</v>
      </c>
      <c r="C21" s="49"/>
      <c r="D21" s="50">
        <f>D22</f>
        <v>45000</v>
      </c>
    </row>
    <row r="22" spans="1:10" s="55" customFormat="1" x14ac:dyDescent="0.15">
      <c r="A22" s="33" t="s">
        <v>200</v>
      </c>
      <c r="D22" s="53">
        <f>B53</f>
        <v>45000</v>
      </c>
    </row>
    <row r="23" spans="1:10" x14ac:dyDescent="0.15">
      <c r="A23" s="26" t="s">
        <v>198</v>
      </c>
      <c r="C23" s="49"/>
      <c r="D23" s="50">
        <f>(D20+D21)*$B62</f>
        <v>15776.249999999998</v>
      </c>
    </row>
    <row r="24" spans="1:10" x14ac:dyDescent="0.15">
      <c r="A24" s="58" t="s">
        <v>197</v>
      </c>
      <c r="C24" s="49"/>
      <c r="D24" s="50">
        <f>D20+D21-D23</f>
        <v>29298.75</v>
      </c>
    </row>
    <row r="25" spans="1:10" x14ac:dyDescent="0.15">
      <c r="A25" s="26" t="s">
        <v>201</v>
      </c>
      <c r="D25" s="50">
        <v>0</v>
      </c>
    </row>
    <row r="26" spans="1:10" x14ac:dyDescent="0.15">
      <c r="A26" s="58" t="s">
        <v>203</v>
      </c>
      <c r="C26" s="49"/>
      <c r="D26" s="50">
        <f>D24-D25</f>
        <v>29298.75</v>
      </c>
    </row>
    <row r="29" spans="1:10" x14ac:dyDescent="0.15">
      <c r="A29" s="26" t="s">
        <v>206</v>
      </c>
      <c r="B29" s="60" t="s">
        <v>208</v>
      </c>
      <c r="C29" s="61" t="s">
        <v>209</v>
      </c>
      <c r="D29" s="60" t="s">
        <v>1206</v>
      </c>
      <c r="E29" s="60" t="s">
        <v>210</v>
      </c>
      <c r="F29" s="60" t="s">
        <v>1207</v>
      </c>
      <c r="G29" s="60" t="s">
        <v>38</v>
      </c>
      <c r="H29" s="60"/>
      <c r="I29" s="60" t="s">
        <v>211</v>
      </c>
      <c r="J29" s="60"/>
    </row>
    <row r="30" spans="1:10" x14ac:dyDescent="0.15">
      <c r="A30" s="62" t="s">
        <v>205</v>
      </c>
      <c r="B30" s="50">
        <f>SUM(B32:B39)</f>
        <v>1100</v>
      </c>
      <c r="C30" s="63">
        <v>14</v>
      </c>
      <c r="D30" s="50">
        <f>B30*C30</f>
        <v>15400</v>
      </c>
      <c r="E30" s="63">
        <v>27</v>
      </c>
      <c r="F30" s="50">
        <f>B30*E30</f>
        <v>29700</v>
      </c>
      <c r="G30" s="26">
        <f>E30-C30</f>
        <v>13</v>
      </c>
      <c r="H30" s="50">
        <f t="shared" ref="H30:H39" si="0">F30-D30</f>
        <v>14300</v>
      </c>
      <c r="I30" s="26">
        <f>B42+C30-E30</f>
        <v>227</v>
      </c>
      <c r="J30" s="50">
        <f>I30*B43</f>
        <v>340500</v>
      </c>
    </row>
    <row r="31" spans="1:10" x14ac:dyDescent="0.15">
      <c r="A31" s="26" t="s">
        <v>190</v>
      </c>
      <c r="B31" s="50"/>
      <c r="C31" s="49"/>
      <c r="D31" s="50">
        <f>SUM(D32:D39)</f>
        <v>5400</v>
      </c>
      <c r="F31" s="50">
        <f>SUM(F32:F39)</f>
        <v>8450</v>
      </c>
      <c r="G31" s="49"/>
      <c r="H31" s="50">
        <f t="shared" si="0"/>
        <v>3050</v>
      </c>
      <c r="I31" s="60" t="s">
        <v>212</v>
      </c>
      <c r="J31" s="50">
        <f>SUM(J32:J39)</f>
        <v>267050</v>
      </c>
    </row>
    <row r="32" spans="1:10" x14ac:dyDescent="0.15">
      <c r="A32" s="62" t="s">
        <v>185</v>
      </c>
      <c r="B32" s="64">
        <v>50</v>
      </c>
      <c r="C32" s="63">
        <v>5</v>
      </c>
      <c r="D32" s="50">
        <f>B32*C32</f>
        <v>250</v>
      </c>
      <c r="E32" s="63">
        <v>13</v>
      </c>
      <c r="F32" s="50">
        <f>B32*E32</f>
        <v>650</v>
      </c>
      <c r="G32" s="26">
        <f t="shared" ref="G32:G39" si="1">E32-C32</f>
        <v>8</v>
      </c>
      <c r="H32" s="50">
        <f t="shared" si="0"/>
        <v>400</v>
      </c>
      <c r="I32" s="26">
        <f>B$42+G32</f>
        <v>248</v>
      </c>
      <c r="J32" s="50">
        <f>I32*B32</f>
        <v>12400</v>
      </c>
    </row>
    <row r="33" spans="1:10" x14ac:dyDescent="0.15">
      <c r="A33" s="62" t="s">
        <v>186</v>
      </c>
      <c r="B33" s="64">
        <v>200</v>
      </c>
      <c r="C33" s="63">
        <v>8</v>
      </c>
      <c r="D33" s="50">
        <f t="shared" ref="D33:D39" si="2">B33*C33</f>
        <v>1600</v>
      </c>
      <c r="E33" s="63">
        <v>2</v>
      </c>
      <c r="F33" s="50">
        <f t="shared" ref="F33:F39" si="3">B33*E33</f>
        <v>400</v>
      </c>
      <c r="G33" s="26">
        <f t="shared" si="1"/>
        <v>-6</v>
      </c>
      <c r="H33" s="50">
        <f t="shared" si="0"/>
        <v>-1200</v>
      </c>
      <c r="I33" s="26">
        <f t="shared" ref="I33:I39" si="4">B$42+G33</f>
        <v>234</v>
      </c>
      <c r="J33" s="50">
        <f t="shared" ref="J33:J39" si="5">I33*B33</f>
        <v>46800</v>
      </c>
    </row>
    <row r="34" spans="1:10" x14ac:dyDescent="0.15">
      <c r="A34" s="62" t="s">
        <v>187</v>
      </c>
      <c r="B34" s="64">
        <v>300</v>
      </c>
      <c r="C34" s="63">
        <v>4</v>
      </c>
      <c r="D34" s="50">
        <f t="shared" si="2"/>
        <v>1200</v>
      </c>
      <c r="E34" s="63">
        <v>11</v>
      </c>
      <c r="F34" s="50">
        <f t="shared" si="3"/>
        <v>3300</v>
      </c>
      <c r="G34" s="26">
        <f t="shared" si="1"/>
        <v>7</v>
      </c>
      <c r="H34" s="50">
        <f t="shared" si="0"/>
        <v>2100</v>
      </c>
      <c r="I34" s="26">
        <f t="shared" si="4"/>
        <v>247</v>
      </c>
      <c r="J34" s="50">
        <f t="shared" si="5"/>
        <v>74100</v>
      </c>
    </row>
    <row r="35" spans="1:10" x14ac:dyDescent="0.15">
      <c r="A35" s="62" t="s">
        <v>188</v>
      </c>
      <c r="B35" s="64">
        <v>100</v>
      </c>
      <c r="C35" s="63">
        <v>6</v>
      </c>
      <c r="D35" s="50">
        <f t="shared" si="2"/>
        <v>600</v>
      </c>
      <c r="E35" s="63">
        <v>4</v>
      </c>
      <c r="F35" s="50">
        <f t="shared" si="3"/>
        <v>400</v>
      </c>
      <c r="G35" s="26">
        <f t="shared" si="1"/>
        <v>-2</v>
      </c>
      <c r="H35" s="50">
        <f t="shared" si="0"/>
        <v>-200</v>
      </c>
      <c r="I35" s="26">
        <f t="shared" si="4"/>
        <v>238</v>
      </c>
      <c r="J35" s="50">
        <f t="shared" si="5"/>
        <v>23800</v>
      </c>
    </row>
    <row r="36" spans="1:10" x14ac:dyDescent="0.15">
      <c r="A36" s="62" t="s">
        <v>1204</v>
      </c>
      <c r="B36" s="64">
        <v>50</v>
      </c>
      <c r="C36" s="63">
        <v>1</v>
      </c>
      <c r="D36" s="50">
        <f t="shared" si="2"/>
        <v>50</v>
      </c>
      <c r="E36" s="63">
        <v>13</v>
      </c>
      <c r="F36" s="50">
        <f t="shared" si="3"/>
        <v>650</v>
      </c>
      <c r="G36" s="26">
        <f t="shared" si="1"/>
        <v>12</v>
      </c>
      <c r="H36" s="50">
        <f t="shared" si="0"/>
        <v>600</v>
      </c>
      <c r="I36" s="26">
        <f t="shared" si="4"/>
        <v>252</v>
      </c>
      <c r="J36" s="50">
        <f t="shared" si="5"/>
        <v>12600</v>
      </c>
    </row>
    <row r="37" spans="1:10" x14ac:dyDescent="0.15">
      <c r="A37" s="62" t="s">
        <v>189</v>
      </c>
      <c r="B37" s="64">
        <v>150</v>
      </c>
      <c r="C37" s="63">
        <v>5</v>
      </c>
      <c r="D37" s="50">
        <f t="shared" si="2"/>
        <v>750</v>
      </c>
      <c r="E37" s="63">
        <v>10</v>
      </c>
      <c r="F37" s="50">
        <f t="shared" si="3"/>
        <v>1500</v>
      </c>
      <c r="G37" s="26">
        <f t="shared" si="1"/>
        <v>5</v>
      </c>
      <c r="H37" s="50">
        <f t="shared" si="0"/>
        <v>750</v>
      </c>
      <c r="I37" s="26">
        <f t="shared" si="4"/>
        <v>245</v>
      </c>
      <c r="J37" s="50">
        <f t="shared" si="5"/>
        <v>36750</v>
      </c>
    </row>
    <row r="38" spans="1:10" x14ac:dyDescent="0.15">
      <c r="A38" s="62" t="s">
        <v>204</v>
      </c>
      <c r="B38" s="64">
        <v>200</v>
      </c>
      <c r="C38" s="63">
        <v>3</v>
      </c>
      <c r="D38" s="50">
        <f t="shared" si="2"/>
        <v>600</v>
      </c>
      <c r="E38" s="63">
        <v>3</v>
      </c>
      <c r="F38" s="50">
        <f t="shared" si="3"/>
        <v>600</v>
      </c>
      <c r="G38" s="26">
        <f t="shared" si="1"/>
        <v>0</v>
      </c>
      <c r="H38" s="50">
        <f t="shared" si="0"/>
        <v>0</v>
      </c>
      <c r="I38" s="26">
        <f t="shared" si="4"/>
        <v>240</v>
      </c>
      <c r="J38" s="50">
        <f t="shared" si="5"/>
        <v>48000</v>
      </c>
    </row>
    <row r="39" spans="1:10" x14ac:dyDescent="0.15">
      <c r="A39" s="62" t="s">
        <v>1205</v>
      </c>
      <c r="B39" s="64">
        <v>50</v>
      </c>
      <c r="C39" s="63">
        <v>7</v>
      </c>
      <c r="D39" s="50">
        <f t="shared" si="2"/>
        <v>350</v>
      </c>
      <c r="E39" s="63">
        <v>19</v>
      </c>
      <c r="F39" s="50">
        <f t="shared" si="3"/>
        <v>950</v>
      </c>
      <c r="G39" s="26">
        <f t="shared" si="1"/>
        <v>12</v>
      </c>
      <c r="H39" s="50">
        <f t="shared" si="0"/>
        <v>600</v>
      </c>
      <c r="I39" s="26">
        <f t="shared" si="4"/>
        <v>252</v>
      </c>
      <c r="J39" s="50">
        <f t="shared" si="5"/>
        <v>12600</v>
      </c>
    </row>
    <row r="42" spans="1:10" x14ac:dyDescent="0.15">
      <c r="A42" s="26" t="s">
        <v>1134</v>
      </c>
      <c r="B42" s="63">
        <v>240</v>
      </c>
    </row>
    <row r="43" spans="1:10" x14ac:dyDescent="0.15">
      <c r="A43" s="26" t="s">
        <v>213</v>
      </c>
      <c r="B43" s="64">
        <v>1500</v>
      </c>
    </row>
    <row r="44" spans="1:10" x14ac:dyDescent="0.15">
      <c r="A44" s="26" t="s">
        <v>214</v>
      </c>
      <c r="B44" s="50">
        <f>B45+B46</f>
        <v>90000</v>
      </c>
    </row>
    <row r="45" spans="1:10" s="55" customFormat="1" x14ac:dyDescent="0.15">
      <c r="A45" s="33" t="s">
        <v>215</v>
      </c>
      <c r="B45" s="64">
        <v>60000</v>
      </c>
    </row>
    <row r="46" spans="1:10" s="55" customFormat="1" x14ac:dyDescent="0.15">
      <c r="A46" s="33" t="s">
        <v>484</v>
      </c>
      <c r="B46" s="64">
        <f>B45*0.5</f>
        <v>30000</v>
      </c>
    </row>
    <row r="47" spans="1:10" x14ac:dyDescent="0.15">
      <c r="B47" s="50"/>
    </row>
    <row r="48" spans="1:10" x14ac:dyDescent="0.15">
      <c r="A48" s="26" t="s">
        <v>222</v>
      </c>
      <c r="B48" s="64">
        <v>200000</v>
      </c>
    </row>
    <row r="49" spans="1:3" x14ac:dyDescent="0.15">
      <c r="A49" s="26" t="s">
        <v>216</v>
      </c>
      <c r="B49" s="50">
        <f>B48*(1-B52/B51)</f>
        <v>185000</v>
      </c>
    </row>
    <row r="50" spans="1:3" x14ac:dyDescent="0.15">
      <c r="A50" s="26" t="s">
        <v>223</v>
      </c>
      <c r="B50" s="64">
        <v>230000</v>
      </c>
    </row>
    <row r="51" spans="1:3" x14ac:dyDescent="0.15">
      <c r="A51" s="26" t="s">
        <v>515</v>
      </c>
      <c r="B51" s="63">
        <v>40</v>
      </c>
    </row>
    <row r="52" spans="1:3" x14ac:dyDescent="0.15">
      <c r="A52" s="26" t="s">
        <v>772</v>
      </c>
      <c r="B52" s="63">
        <v>3</v>
      </c>
    </row>
    <row r="53" spans="1:3" x14ac:dyDescent="0.15">
      <c r="A53" s="26" t="s">
        <v>224</v>
      </c>
      <c r="B53" s="50">
        <f>B50-B49</f>
        <v>45000</v>
      </c>
      <c r="C53" s="50"/>
    </row>
    <row r="54" spans="1:3" x14ac:dyDescent="0.15">
      <c r="B54" s="50"/>
      <c r="C54" s="50"/>
    </row>
    <row r="55" spans="1:3" x14ac:dyDescent="0.15">
      <c r="A55" s="26" t="s">
        <v>207</v>
      </c>
      <c r="B55" s="64">
        <v>0</v>
      </c>
      <c r="C55" s="50"/>
    </row>
    <row r="56" spans="1:3" x14ac:dyDescent="0.15">
      <c r="A56" s="26" t="s">
        <v>217</v>
      </c>
      <c r="B56" s="64">
        <v>0</v>
      </c>
      <c r="C56" s="64">
        <v>12</v>
      </c>
    </row>
    <row r="57" spans="1:3" x14ac:dyDescent="0.15">
      <c r="B57" s="50"/>
      <c r="C57" s="50"/>
    </row>
    <row r="58" spans="1:3" x14ac:dyDescent="0.15">
      <c r="A58" s="26" t="s">
        <v>218</v>
      </c>
      <c r="B58" s="64">
        <v>12000</v>
      </c>
      <c r="C58" s="50"/>
    </row>
    <row r="59" spans="1:3" x14ac:dyDescent="0.15">
      <c r="A59" s="26" t="s">
        <v>219</v>
      </c>
      <c r="B59" s="66">
        <v>0.05</v>
      </c>
    </row>
    <row r="60" spans="1:3" x14ac:dyDescent="0.15">
      <c r="A60" s="26" t="s">
        <v>220</v>
      </c>
      <c r="B60" s="64">
        <v>12</v>
      </c>
      <c r="C60" s="64">
        <v>0</v>
      </c>
    </row>
    <row r="62" spans="1:3" x14ac:dyDescent="0.15">
      <c r="A62" s="26" t="s">
        <v>221</v>
      </c>
      <c r="B62" s="66">
        <v>0.35</v>
      </c>
    </row>
    <row r="65" spans="1:78" ht="13.75" x14ac:dyDescent="0.2">
      <c r="A65" s="45" t="s">
        <v>741</v>
      </c>
    </row>
    <row r="66" spans="1:78" ht="13.75" x14ac:dyDescent="0.2">
      <c r="A66" s="67" t="s">
        <v>51</v>
      </c>
      <c r="B66" s="68">
        <v>2014</v>
      </c>
      <c r="C66" s="68">
        <f>B66+1</f>
        <v>2015</v>
      </c>
      <c r="D66" s="68">
        <f>C66+1</f>
        <v>2016</v>
      </c>
    </row>
    <row r="67" spans="1:78" ht="13.75" x14ac:dyDescent="0.2">
      <c r="A67" s="47" t="s">
        <v>227</v>
      </c>
      <c r="B67" s="50">
        <f>B68+B69</f>
        <v>142</v>
      </c>
      <c r="C67" s="50">
        <f>C68+C69</f>
        <v>144</v>
      </c>
      <c r="D67" s="50">
        <f>D68+D69</f>
        <v>144</v>
      </c>
    </row>
    <row r="68" spans="1:78" s="49" customFormat="1" ht="13.75" x14ac:dyDescent="0.2">
      <c r="A68" s="69" t="s">
        <v>175</v>
      </c>
      <c r="B68" s="85">
        <v>132</v>
      </c>
      <c r="C68" s="85">
        <f>'Chapter 2'!D28</f>
        <v>144</v>
      </c>
      <c r="D68" s="85">
        <f>'Chapter 2'!E28</f>
        <v>144</v>
      </c>
    </row>
    <row r="69" spans="1:78" s="49" customFormat="1" ht="13.75" x14ac:dyDescent="0.2">
      <c r="A69" s="69" t="s">
        <v>176</v>
      </c>
      <c r="B69" s="85">
        <f>4+4+2</f>
        <v>10</v>
      </c>
      <c r="C69" s="50"/>
      <c r="D69" s="50"/>
    </row>
    <row r="70" spans="1:78" ht="13.75" x14ac:dyDescent="0.2">
      <c r="A70" s="47" t="s">
        <v>45</v>
      </c>
      <c r="B70" s="50">
        <f>SUM(B71:B73)</f>
        <v>120</v>
      </c>
      <c r="C70" s="50">
        <f>SUM(C71:C73)</f>
        <v>120</v>
      </c>
      <c r="D70" s="50">
        <f>SUM(D71:D73)</f>
        <v>120</v>
      </c>
    </row>
    <row r="71" spans="1:78" ht="13.75" x14ac:dyDescent="0.2">
      <c r="A71" s="70" t="s">
        <v>230</v>
      </c>
      <c r="B71" s="85">
        <f>52-4</f>
        <v>48</v>
      </c>
      <c r="C71" s="85">
        <v>48</v>
      </c>
      <c r="D71" s="85">
        <v>48</v>
      </c>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row>
    <row r="72" spans="1:78" ht="13.75" x14ac:dyDescent="0.2">
      <c r="A72" s="70" t="s">
        <v>231</v>
      </c>
      <c r="B72" s="85">
        <v>24</v>
      </c>
      <c r="C72" s="85">
        <v>24</v>
      </c>
      <c r="D72" s="85">
        <v>24</v>
      </c>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row>
    <row r="73" spans="1:78" ht="13.75" x14ac:dyDescent="0.2">
      <c r="A73" s="70" t="s">
        <v>232</v>
      </c>
      <c r="B73" s="85">
        <v>48</v>
      </c>
      <c r="C73" s="85">
        <v>48</v>
      </c>
      <c r="D73" s="85">
        <v>48</v>
      </c>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row>
    <row r="74" spans="1:78" ht="13.75" x14ac:dyDescent="0.2">
      <c r="A74" s="67" t="s">
        <v>177</v>
      </c>
      <c r="B74" s="50">
        <f>B67-B70</f>
        <v>22</v>
      </c>
      <c r="C74" s="50">
        <f>C67-C70</f>
        <v>24</v>
      </c>
      <c r="D74" s="50">
        <f>D67-D70</f>
        <v>24</v>
      </c>
    </row>
    <row r="75" spans="1:78" ht="13.75" x14ac:dyDescent="0.2">
      <c r="A75" s="47" t="s">
        <v>178</v>
      </c>
      <c r="B75" s="50">
        <v>6</v>
      </c>
      <c r="C75" s="50">
        <f>B75</f>
        <v>6</v>
      </c>
      <c r="D75" s="50">
        <f>B75</f>
        <v>6</v>
      </c>
    </row>
    <row r="76" spans="1:78" ht="13.75" x14ac:dyDescent="0.2">
      <c r="A76" s="67" t="s">
        <v>193</v>
      </c>
      <c r="B76" s="50">
        <f>B74-B75</f>
        <v>16</v>
      </c>
      <c r="C76" s="50">
        <f>C74-C75</f>
        <v>18</v>
      </c>
      <c r="D76" s="50">
        <f>D74-D75</f>
        <v>18</v>
      </c>
    </row>
    <row r="77" spans="1:78" ht="13.75" x14ac:dyDescent="0.2">
      <c r="A77" s="47" t="s">
        <v>226</v>
      </c>
      <c r="B77" s="83">
        <f>SUMIF('Chapter 2'!$C$12:$BY$12,B66,'Chapter 2'!$C$24:$BY$24)</f>
        <v>1.9</v>
      </c>
      <c r="C77" s="83">
        <f>SUMIF('Chapter 2'!$C$12:$BY$12,C66,'Chapter 2'!$C$24:$BY$24)</f>
        <v>1.5</v>
      </c>
      <c r="D77" s="83">
        <f>SUMIF('Chapter 2'!$C$12:$BY$12,D66,'Chapter 2'!$C$24:$BY$24)</f>
        <v>1.1000000000000001</v>
      </c>
    </row>
    <row r="78" spans="1:78" ht="13.75" x14ac:dyDescent="0.2">
      <c r="A78" s="58" t="s">
        <v>199</v>
      </c>
      <c r="B78" s="83">
        <f>B76-B77</f>
        <v>14.1</v>
      </c>
      <c r="C78" s="83">
        <f>C76-C77</f>
        <v>16.5</v>
      </c>
      <c r="D78" s="83">
        <f>D76-D77</f>
        <v>16.899999999999999</v>
      </c>
    </row>
    <row r="79" spans="1:78" ht="13.75" x14ac:dyDescent="0.2">
      <c r="A79" s="47" t="s">
        <v>198</v>
      </c>
      <c r="B79" s="83">
        <v>0</v>
      </c>
      <c r="C79" s="83">
        <v>0</v>
      </c>
      <c r="D79" s="83">
        <v>0</v>
      </c>
    </row>
    <row r="80" spans="1:78" ht="13.75" x14ac:dyDescent="0.2">
      <c r="A80" s="58" t="s">
        <v>197</v>
      </c>
      <c r="B80" s="83">
        <f>B78-B79</f>
        <v>14.1</v>
      </c>
      <c r="C80" s="83">
        <f>C78-C79</f>
        <v>16.5</v>
      </c>
      <c r="D80" s="83">
        <f>D78-D79</f>
        <v>16.899999999999999</v>
      </c>
    </row>
    <row r="81" spans="1:4" ht="13.75" x14ac:dyDescent="0.2">
      <c r="A81" s="47" t="s">
        <v>201</v>
      </c>
    </row>
    <row r="82" spans="1:4" ht="13.75" x14ac:dyDescent="0.2">
      <c r="A82" s="47" t="s">
        <v>203</v>
      </c>
    </row>
    <row r="84" spans="1:4" ht="13.75" x14ac:dyDescent="0.2">
      <c r="A84" s="45" t="s">
        <v>225</v>
      </c>
    </row>
    <row r="85" spans="1:4" ht="13.75" x14ac:dyDescent="0.2">
      <c r="A85" s="67" t="s">
        <v>51</v>
      </c>
    </row>
    <row r="86" spans="1:4" ht="13.75" x14ac:dyDescent="0.2">
      <c r="A86" s="26" t="s">
        <v>227</v>
      </c>
      <c r="B86" s="50">
        <f>B68</f>
        <v>132</v>
      </c>
      <c r="C86" s="50">
        <f>C68</f>
        <v>144</v>
      </c>
      <c r="D86" s="50">
        <f>D68</f>
        <v>144</v>
      </c>
    </row>
    <row r="87" spans="1:4" ht="13.75" x14ac:dyDescent="0.2">
      <c r="A87" s="72" t="s">
        <v>233</v>
      </c>
      <c r="B87" s="50">
        <f>B70+B75-B69</f>
        <v>116</v>
      </c>
      <c r="C87" s="50">
        <f>C70+C75-C69</f>
        <v>126</v>
      </c>
      <c r="D87" s="50">
        <f>D70+D75-D69</f>
        <v>126</v>
      </c>
    </row>
    <row r="88" spans="1:4" ht="13.75" x14ac:dyDescent="0.2">
      <c r="A88" s="72" t="s">
        <v>229</v>
      </c>
      <c r="B88" s="50">
        <v>0</v>
      </c>
      <c r="C88" s="50">
        <v>0</v>
      </c>
      <c r="D88" s="50">
        <v>0</v>
      </c>
    </row>
    <row r="89" spans="1:4" ht="13.75" x14ac:dyDescent="0.2">
      <c r="A89" s="72" t="s">
        <v>228</v>
      </c>
      <c r="B89" s="50">
        <v>0</v>
      </c>
      <c r="C89" s="50">
        <v>0</v>
      </c>
      <c r="D89" s="50">
        <v>0</v>
      </c>
    </row>
    <row r="90" spans="1:4" ht="13.75" x14ac:dyDescent="0.2">
      <c r="A90" s="67" t="s">
        <v>193</v>
      </c>
      <c r="B90" s="50">
        <f>B86-B87-B88-B89</f>
        <v>16</v>
      </c>
      <c r="C90" s="50">
        <f>C86-C87-C88-C89</f>
        <v>18</v>
      </c>
      <c r="D90" s="50">
        <f>D86-D87-D88-D89</f>
        <v>18</v>
      </c>
    </row>
    <row r="91" spans="1:4" ht="13.75" x14ac:dyDescent="0.2">
      <c r="A91" s="47" t="s">
        <v>226</v>
      </c>
      <c r="B91" s="83">
        <f>B77</f>
        <v>1.9</v>
      </c>
      <c r="C91" s="83">
        <f>C77</f>
        <v>1.5</v>
      </c>
      <c r="D91" s="83">
        <f>D77</f>
        <v>1.1000000000000001</v>
      </c>
    </row>
    <row r="92" spans="1:4" ht="13.75" x14ac:dyDescent="0.2">
      <c r="A92" s="58" t="s">
        <v>199</v>
      </c>
      <c r="B92" s="83">
        <f>B90-B91</f>
        <v>14.1</v>
      </c>
      <c r="C92" s="83">
        <f>C90-C91</f>
        <v>16.5</v>
      </c>
      <c r="D92" s="83">
        <f>D90-D91</f>
        <v>16.899999999999999</v>
      </c>
    </row>
    <row r="93" spans="1:4" ht="13.75" x14ac:dyDescent="0.2">
      <c r="A93" s="47" t="s">
        <v>198</v>
      </c>
      <c r="B93" s="83">
        <v>0</v>
      </c>
      <c r="C93" s="83">
        <v>0</v>
      </c>
      <c r="D93" s="83">
        <v>0</v>
      </c>
    </row>
    <row r="94" spans="1:4" ht="13.75" x14ac:dyDescent="0.2">
      <c r="A94" s="58" t="s">
        <v>197</v>
      </c>
      <c r="B94" s="83">
        <f>B92-B93</f>
        <v>14.1</v>
      </c>
      <c r="C94" s="83">
        <f>C92-C93</f>
        <v>16.5</v>
      </c>
      <c r="D94" s="83">
        <f>D92-D93</f>
        <v>16.899999999999999</v>
      </c>
    </row>
    <row r="95" spans="1:4" ht="13.75" x14ac:dyDescent="0.2">
      <c r="A95" s="47"/>
    </row>
    <row r="96" spans="1:4" ht="13.75" x14ac:dyDescent="0.2">
      <c r="A96" s="47"/>
    </row>
    <row r="97" spans="1:3" ht="13.75" x14ac:dyDescent="0.2">
      <c r="A97" s="45" t="s">
        <v>1135</v>
      </c>
    </row>
    <row r="99" spans="1:3" ht="13.75" x14ac:dyDescent="0.2">
      <c r="A99" s="26" t="s">
        <v>753</v>
      </c>
      <c r="B99" s="64">
        <v>900</v>
      </c>
    </row>
    <row r="100" spans="1:3" ht="13.75" x14ac:dyDescent="0.2">
      <c r="A100" s="26" t="s">
        <v>754</v>
      </c>
      <c r="B100" s="64">
        <v>800</v>
      </c>
    </row>
    <row r="101" spans="1:3" ht="13.75" x14ac:dyDescent="0.2">
      <c r="A101" s="26" t="s">
        <v>755</v>
      </c>
      <c r="B101" s="73">
        <v>10000</v>
      </c>
    </row>
    <row r="102" spans="1:3" ht="13.75" x14ac:dyDescent="0.2">
      <c r="A102" s="26" t="s">
        <v>756</v>
      </c>
      <c r="B102" s="73">
        <v>5000</v>
      </c>
    </row>
    <row r="103" spans="1:3" ht="13.75" x14ac:dyDescent="0.2">
      <c r="A103" s="26" t="s">
        <v>757</v>
      </c>
      <c r="B103" s="73">
        <v>2000</v>
      </c>
    </row>
    <row r="104" spans="1:3" ht="13.75" x14ac:dyDescent="0.2">
      <c r="A104" s="26" t="s">
        <v>758</v>
      </c>
      <c r="B104" s="73">
        <v>450000</v>
      </c>
    </row>
    <row r="105" spans="1:3" ht="13.75" x14ac:dyDescent="0.2">
      <c r="A105" s="26" t="s">
        <v>322</v>
      </c>
      <c r="B105" s="73">
        <v>400000</v>
      </c>
    </row>
    <row r="106" spans="1:3" ht="13.75" x14ac:dyDescent="0.2">
      <c r="A106" s="26" t="s">
        <v>759</v>
      </c>
      <c r="B106" s="73">
        <v>300000</v>
      </c>
    </row>
    <row r="107" spans="1:3" ht="13.75" x14ac:dyDescent="0.2">
      <c r="A107" s="26" t="s">
        <v>760</v>
      </c>
      <c r="B107" s="73">
        <v>400000</v>
      </c>
      <c r="C107" s="74"/>
    </row>
    <row r="108" spans="1:3" ht="13.75" x14ac:dyDescent="0.2">
      <c r="A108" s="26" t="s">
        <v>761</v>
      </c>
      <c r="B108" s="73">
        <v>500000</v>
      </c>
    </row>
    <row r="109" spans="1:3" ht="13.75" x14ac:dyDescent="0.2">
      <c r="A109" s="26" t="s">
        <v>762</v>
      </c>
      <c r="B109" s="73">
        <v>4600000</v>
      </c>
    </row>
    <row r="111" spans="1:3" ht="13.75" x14ac:dyDescent="0.2">
      <c r="A111" s="26" t="s">
        <v>767</v>
      </c>
    </row>
    <row r="112" spans="1:3" ht="13.75" x14ac:dyDescent="0.2">
      <c r="A112" s="26" t="s">
        <v>768</v>
      </c>
      <c r="B112" s="73">
        <v>200000</v>
      </c>
    </row>
    <row r="113" spans="1:2" ht="13.75" x14ac:dyDescent="0.2">
      <c r="A113" s="26" t="s">
        <v>769</v>
      </c>
      <c r="B113" s="73">
        <v>70000</v>
      </c>
    </row>
    <row r="114" spans="1:2" ht="13.75" x14ac:dyDescent="0.2">
      <c r="A114" s="26" t="s">
        <v>770</v>
      </c>
      <c r="B114" s="73">
        <v>30000</v>
      </c>
    </row>
    <row r="116" spans="1:2" ht="13.75" x14ac:dyDescent="0.2">
      <c r="A116" s="48" t="s">
        <v>174</v>
      </c>
    </row>
    <row r="117" spans="1:2" ht="13.75" x14ac:dyDescent="0.2">
      <c r="A117" s="75" t="s">
        <v>998</v>
      </c>
      <c r="B117" s="76">
        <f>B100*B101</f>
        <v>8000000</v>
      </c>
    </row>
    <row r="118" spans="1:2" ht="13.75" x14ac:dyDescent="0.2">
      <c r="A118" s="72" t="s">
        <v>742</v>
      </c>
      <c r="B118" s="77">
        <f>(B99-B100)*(B102+B103)</f>
        <v>700000</v>
      </c>
    </row>
    <row r="119" spans="1:2" ht="13.75" x14ac:dyDescent="0.2">
      <c r="A119" s="72" t="s">
        <v>743</v>
      </c>
      <c r="B119" s="77">
        <v>0</v>
      </c>
    </row>
    <row r="120" spans="1:2" ht="13.75" x14ac:dyDescent="0.2">
      <c r="A120" s="78" t="s">
        <v>744</v>
      </c>
      <c r="B120" s="79">
        <f>SUM(B117:B119)</f>
        <v>8700000</v>
      </c>
    </row>
    <row r="121" spans="1:2" ht="13.75" x14ac:dyDescent="0.2">
      <c r="A121" s="72" t="s">
        <v>745</v>
      </c>
      <c r="B121" s="77">
        <f>-B109</f>
        <v>-4600000</v>
      </c>
    </row>
    <row r="122" spans="1:2" ht="13.75" x14ac:dyDescent="0.2">
      <c r="A122" s="72" t="s">
        <v>746</v>
      </c>
      <c r="B122" s="77">
        <f>-B107</f>
        <v>-400000</v>
      </c>
    </row>
    <row r="123" spans="1:2" ht="13.75" x14ac:dyDescent="0.2">
      <c r="A123" s="72" t="s">
        <v>747</v>
      </c>
      <c r="B123" s="77">
        <f>+B108</f>
        <v>500000</v>
      </c>
    </row>
    <row r="124" spans="1:2" ht="13.75" x14ac:dyDescent="0.2">
      <c r="A124" s="78" t="s">
        <v>748</v>
      </c>
      <c r="B124" s="79">
        <f>SUM(B120:B123)</f>
        <v>4200000</v>
      </c>
    </row>
    <row r="125" spans="1:2" ht="13.75" x14ac:dyDescent="0.2">
      <c r="A125" s="72" t="s">
        <v>749</v>
      </c>
      <c r="B125" s="77">
        <f>-(B99*B103+B104)</f>
        <v>-2250000</v>
      </c>
    </row>
    <row r="126" spans="1:2" ht="13.75" x14ac:dyDescent="0.2">
      <c r="A126" s="72" t="s">
        <v>750</v>
      </c>
      <c r="B126" s="77">
        <f>-B105</f>
        <v>-400000</v>
      </c>
    </row>
    <row r="127" spans="1:2" ht="13.75" x14ac:dyDescent="0.2">
      <c r="A127" s="72" t="s">
        <v>751</v>
      </c>
      <c r="B127" s="77">
        <f>-B106</f>
        <v>-300000</v>
      </c>
    </row>
    <row r="128" spans="1:2" ht="13.75" x14ac:dyDescent="0.2">
      <c r="A128" s="78" t="s">
        <v>752</v>
      </c>
      <c r="B128" s="79">
        <f>SUM(B124:B127)</f>
        <v>1250000</v>
      </c>
    </row>
    <row r="129" spans="1:2" ht="13.75" x14ac:dyDescent="0.2">
      <c r="B129" s="77"/>
    </row>
    <row r="130" spans="1:2" ht="13.75" x14ac:dyDescent="0.2">
      <c r="B130" s="77"/>
    </row>
    <row r="131" spans="1:2" ht="13.75" x14ac:dyDescent="0.2">
      <c r="B131" s="77"/>
    </row>
    <row r="132" spans="1:2" ht="13.75" x14ac:dyDescent="0.2">
      <c r="A132" s="48" t="s">
        <v>763</v>
      </c>
      <c r="B132" s="77"/>
    </row>
    <row r="133" spans="1:2" ht="13.75" x14ac:dyDescent="0.2">
      <c r="A133" s="30" t="s">
        <v>764</v>
      </c>
      <c r="B133" s="77">
        <f>B100*B101</f>
        <v>8000000</v>
      </c>
    </row>
    <row r="134" spans="1:2" ht="13.75" x14ac:dyDescent="0.2">
      <c r="A134" s="26" t="s">
        <v>182</v>
      </c>
      <c r="B134" s="77">
        <f>B100*(B102+B103)+B112</f>
        <v>5800000</v>
      </c>
    </row>
    <row r="135" spans="1:2" ht="13.75" x14ac:dyDescent="0.2">
      <c r="A135" s="26" t="s">
        <v>765</v>
      </c>
      <c r="B135" s="77">
        <f>B104+B113</f>
        <v>520000</v>
      </c>
    </row>
    <row r="136" spans="1:2" ht="13.75" x14ac:dyDescent="0.2">
      <c r="A136" s="26" t="s">
        <v>766</v>
      </c>
      <c r="B136" s="77">
        <f>B114+B105</f>
        <v>430000</v>
      </c>
    </row>
    <row r="137" spans="1:2" ht="13.75" x14ac:dyDescent="0.2">
      <c r="A137" s="78" t="s">
        <v>752</v>
      </c>
      <c r="B137" s="79">
        <f>B133-B134-B135-B136</f>
        <v>1250000</v>
      </c>
    </row>
    <row r="138" spans="1:2" ht="13.75" x14ac:dyDescent="0.2">
      <c r="B138" s="80"/>
    </row>
    <row r="140" spans="1:2" ht="13.75" x14ac:dyDescent="0.2">
      <c r="A140" s="45" t="s">
        <v>1136</v>
      </c>
    </row>
    <row r="142" spans="1:2" ht="13.75" x14ac:dyDescent="0.2">
      <c r="A142" s="26" t="s">
        <v>1137</v>
      </c>
    </row>
    <row r="143" spans="1:2" ht="13.75" x14ac:dyDescent="0.2">
      <c r="A143" s="26" t="s">
        <v>215</v>
      </c>
      <c r="B143" s="64">
        <v>2000</v>
      </c>
    </row>
    <row r="144" spans="1:2" ht="13.75" x14ac:dyDescent="0.2">
      <c r="A144" s="26" t="s">
        <v>1138</v>
      </c>
      <c r="B144" s="64">
        <v>1500</v>
      </c>
    </row>
    <row r="146" spans="1:3" ht="13.75" x14ac:dyDescent="0.2">
      <c r="A146" s="26" t="s">
        <v>1139</v>
      </c>
    </row>
    <row r="147" spans="1:3" ht="13.75" x14ac:dyDescent="0.2">
      <c r="A147" s="26" t="s">
        <v>1140</v>
      </c>
      <c r="B147" s="65">
        <v>2</v>
      </c>
    </row>
    <row r="149" spans="1:3" ht="13.75" x14ac:dyDescent="0.2">
      <c r="A149" s="26" t="s">
        <v>1141</v>
      </c>
      <c r="B149" s="64">
        <v>50</v>
      </c>
    </row>
    <row r="151" spans="1:3" ht="13.75" x14ac:dyDescent="0.2">
      <c r="A151" s="26" t="s">
        <v>1142</v>
      </c>
      <c r="B151" s="64">
        <v>12</v>
      </c>
    </row>
    <row r="152" spans="1:3" ht="13.75" x14ac:dyDescent="0.2">
      <c r="A152" s="26" t="s">
        <v>1143</v>
      </c>
      <c r="B152" s="81">
        <v>4</v>
      </c>
    </row>
    <row r="153" spans="1:3" ht="13.75" x14ac:dyDescent="0.2">
      <c r="B153" s="26"/>
    </row>
    <row r="154" spans="1:3" ht="13.75" x14ac:dyDescent="0.2">
      <c r="A154" s="48" t="s">
        <v>271</v>
      </c>
    </row>
    <row r="155" spans="1:3" ht="6.75" customHeight="1" x14ac:dyDescent="0.2"/>
    <row r="156" spans="1:3" ht="13.75" x14ac:dyDescent="0.2">
      <c r="A156" s="26" t="s">
        <v>51</v>
      </c>
      <c r="B156" s="26">
        <v>1</v>
      </c>
      <c r="C156" s="26">
        <v>2</v>
      </c>
    </row>
    <row r="157" spans="1:3" ht="13.75" x14ac:dyDescent="0.2">
      <c r="A157" s="26" t="s">
        <v>227</v>
      </c>
      <c r="B157" s="50">
        <f>B144*B149*B152/B151</f>
        <v>25000</v>
      </c>
      <c r="C157" s="50">
        <f>B144*B149</f>
        <v>75000</v>
      </c>
    </row>
    <row r="158" spans="1:3" ht="13.75" x14ac:dyDescent="0.2">
      <c r="A158" s="72" t="s">
        <v>749</v>
      </c>
      <c r="B158" s="50">
        <f>-B144*B147*B152</f>
        <v>-12000</v>
      </c>
      <c r="C158" s="50">
        <f>-B144*B147*B151</f>
        <v>-36000</v>
      </c>
    </row>
    <row r="159" spans="1:3" ht="13.75" x14ac:dyDescent="0.2">
      <c r="A159" s="72" t="s">
        <v>1144</v>
      </c>
      <c r="B159" s="50">
        <f>-B143*B152</f>
        <v>-8000</v>
      </c>
      <c r="C159" s="50">
        <f>-B143*B151</f>
        <v>-24000</v>
      </c>
    </row>
    <row r="160" spans="1:3" ht="13.75" x14ac:dyDescent="0.2">
      <c r="A160" s="78" t="s">
        <v>1145</v>
      </c>
      <c r="B160" s="79">
        <f>SUM(B157:B159)</f>
        <v>5000</v>
      </c>
      <c r="C160" s="79">
        <f>SUM(C157:C159)</f>
        <v>15000</v>
      </c>
    </row>
    <row r="162" spans="1:3" ht="13.75" x14ac:dyDescent="0.2">
      <c r="A162" s="48" t="s">
        <v>1146</v>
      </c>
    </row>
    <row r="163" spans="1:3" ht="6.75" customHeight="1" x14ac:dyDescent="0.2"/>
    <row r="164" spans="1:3" ht="13.75" x14ac:dyDescent="0.2">
      <c r="A164" s="26" t="s">
        <v>1147</v>
      </c>
      <c r="B164" s="50">
        <f>$B$144*$B$149</f>
        <v>75000</v>
      </c>
      <c r="C164" s="50">
        <f>$B$144*$B$149</f>
        <v>75000</v>
      </c>
    </row>
    <row r="165" spans="1:3" ht="13.75" x14ac:dyDescent="0.2">
      <c r="A165" s="26" t="s">
        <v>1148</v>
      </c>
      <c r="B165" s="50">
        <f>B159+B158</f>
        <v>-20000</v>
      </c>
      <c r="C165" s="50">
        <f>C159+C158</f>
        <v>-60000</v>
      </c>
    </row>
    <row r="166" spans="1:3" ht="13.75" x14ac:dyDescent="0.2">
      <c r="A166" s="82" t="s">
        <v>1149</v>
      </c>
      <c r="B166" s="79">
        <f>SUM(B164:B165)</f>
        <v>55000</v>
      </c>
      <c r="C166" s="79">
        <f>SUM(C164:C165)</f>
        <v>15000</v>
      </c>
    </row>
  </sheetData>
  <phoneticPr fontId="4" type="noConversion"/>
  <pageMargins left="0.7" right="0.7" top="0.75" bottom="0.75" header="0.3" footer="0.3"/>
  <pageSetup paperSize="9" scale="47" fitToHeight="0" orientation="portrait" r:id="rId1"/>
  <ignoredErrors>
    <ignoredError sqref="F31 D31" formula="1"/>
  </ignoredError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45"/>
  <sheetViews>
    <sheetView showGridLines="0" workbookViewId="0">
      <selection activeCell="C20" sqref="C20"/>
    </sheetView>
  </sheetViews>
  <sheetFormatPr baseColWidth="10" defaultColWidth="10.6640625" defaultRowHeight="14" x14ac:dyDescent="0.15"/>
  <cols>
    <col min="1" max="1" width="36.6640625" style="9" customWidth="1"/>
    <col min="2" max="2" width="18" style="9" customWidth="1"/>
    <col min="3" max="16384" width="10.6640625" style="9"/>
  </cols>
  <sheetData>
    <row r="1" spans="1:3" x14ac:dyDescent="0.15">
      <c r="A1" s="32" t="s">
        <v>1347</v>
      </c>
    </row>
    <row r="2" spans="1:3" x14ac:dyDescent="0.15">
      <c r="A2" s="32"/>
    </row>
    <row r="3" spans="1:3" x14ac:dyDescent="0.15">
      <c r="A3" s="9" t="s">
        <v>152</v>
      </c>
      <c r="B3" s="24"/>
    </row>
    <row r="4" spans="1:3" x14ac:dyDescent="0.15">
      <c r="A4" s="9" t="s">
        <v>153</v>
      </c>
      <c r="B4" s="24">
        <v>0.73</v>
      </c>
      <c r="C4" s="188"/>
    </row>
    <row r="5" spans="1:3" x14ac:dyDescent="0.15">
      <c r="A5" s="9" t="s">
        <v>155</v>
      </c>
      <c r="B5" s="24">
        <v>0.28000000000000003</v>
      </c>
    </row>
    <row r="6" spans="1:3" x14ac:dyDescent="0.15">
      <c r="B6" s="24"/>
    </row>
    <row r="7" spans="1:3" x14ac:dyDescent="0.15">
      <c r="A7" s="9" t="s">
        <v>496</v>
      </c>
      <c r="B7" s="24"/>
    </row>
    <row r="8" spans="1:3" x14ac:dyDescent="0.15">
      <c r="A8" s="9" t="s">
        <v>156</v>
      </c>
      <c r="B8" s="24">
        <f>9/2</f>
        <v>4.5</v>
      </c>
    </row>
    <row r="9" spans="1:3" x14ac:dyDescent="0.15">
      <c r="B9" s="24"/>
    </row>
    <row r="10" spans="1:3" x14ac:dyDescent="0.15">
      <c r="A10" s="276" t="s">
        <v>1348</v>
      </c>
      <c r="B10" s="277" t="str">
        <f>+"9 x "&amp;B4</f>
        <v>9 x 0,73</v>
      </c>
      <c r="C10" s="278" t="s">
        <v>1349</v>
      </c>
    </row>
    <row r="11" spans="1:3" x14ac:dyDescent="0.15">
      <c r="A11" s="242" t="s">
        <v>567</v>
      </c>
      <c r="B11" s="473" t="s">
        <v>567</v>
      </c>
      <c r="C11" s="474"/>
    </row>
    <row r="12" spans="1:3" x14ac:dyDescent="0.15">
      <c r="A12" s="187" t="s">
        <v>1350</v>
      </c>
      <c r="B12" s="279" t="str">
        <f>"9 x "&amp;B5</f>
        <v>9 x 0,28</v>
      </c>
      <c r="C12" s="280" t="s">
        <v>1270</v>
      </c>
    </row>
    <row r="13" spans="1:3" x14ac:dyDescent="0.15">
      <c r="B13" s="24"/>
      <c r="C13" s="28"/>
    </row>
    <row r="14" spans="1:3" x14ac:dyDescent="0.15">
      <c r="A14" s="13" t="s">
        <v>158</v>
      </c>
      <c r="B14" s="287">
        <f>(B4-B5)/(1+B8)</f>
        <v>8.1818181818181804E-2</v>
      </c>
    </row>
    <row r="15" spans="1:3" x14ac:dyDescent="0.15">
      <c r="B15" s="288"/>
    </row>
    <row r="16" spans="1:3" x14ac:dyDescent="0.15">
      <c r="A16" s="9" t="s">
        <v>497</v>
      </c>
      <c r="B16" s="288"/>
    </row>
    <row r="17" spans="1:3" x14ac:dyDescent="0.15">
      <c r="A17" s="9" t="str">
        <f>A4</f>
        <v>Share price before issuance</v>
      </c>
      <c r="B17" s="288">
        <f>B4</f>
        <v>0.73</v>
      </c>
    </row>
    <row r="18" spans="1:3" x14ac:dyDescent="0.15">
      <c r="A18" s="9" t="str">
        <f>A14</f>
        <v>PSR</v>
      </c>
      <c r="B18" s="288">
        <f>B14</f>
        <v>8.1818181818181804E-2</v>
      </c>
    </row>
    <row r="19" spans="1:3" x14ac:dyDescent="0.15">
      <c r="A19" s="13" t="s">
        <v>1271</v>
      </c>
      <c r="B19" s="288">
        <f>B17-B18</f>
        <v>0.64818181818181819</v>
      </c>
    </row>
    <row r="20" spans="1:3" x14ac:dyDescent="0.15">
      <c r="B20" s="24"/>
    </row>
    <row r="21" spans="1:3" x14ac:dyDescent="0.15">
      <c r="A21" s="9" t="s">
        <v>565</v>
      </c>
      <c r="B21" s="24"/>
    </row>
    <row r="22" spans="1:3" x14ac:dyDescent="0.15">
      <c r="A22" s="282" t="s">
        <v>427</v>
      </c>
    </row>
    <row r="24" spans="1:3" x14ac:dyDescent="0.15">
      <c r="A24" s="121" t="s">
        <v>544</v>
      </c>
      <c r="B24" s="121" t="s">
        <v>208</v>
      </c>
      <c r="C24" s="121" t="s">
        <v>1085</v>
      </c>
    </row>
    <row r="25" spans="1:3" x14ac:dyDescent="0.15">
      <c r="A25" s="121">
        <v>9000</v>
      </c>
      <c r="B25" s="283">
        <f>B4</f>
        <v>0.73</v>
      </c>
      <c r="C25" s="284">
        <f>A25*B25</f>
        <v>6570</v>
      </c>
    </row>
    <row r="27" spans="1:3" x14ac:dyDescent="0.15">
      <c r="A27" s="93" t="s">
        <v>1272</v>
      </c>
    </row>
    <row r="28" spans="1:3" x14ac:dyDescent="0.15">
      <c r="A28" s="93"/>
    </row>
    <row r="29" spans="1:3" x14ac:dyDescent="0.15">
      <c r="A29" s="285" t="s">
        <v>162</v>
      </c>
    </row>
    <row r="30" spans="1:3" x14ac:dyDescent="0.15">
      <c r="A30" s="121" t="s">
        <v>158</v>
      </c>
      <c r="B30" s="121" t="s">
        <v>208</v>
      </c>
      <c r="C30" s="121"/>
    </row>
    <row r="31" spans="1:3" x14ac:dyDescent="0.15">
      <c r="A31" s="121">
        <v>3888</v>
      </c>
      <c r="B31" s="283">
        <f>B14</f>
        <v>8.1818181818181804E-2</v>
      </c>
      <c r="C31" s="121">
        <f>A31*B31</f>
        <v>318.10909090909087</v>
      </c>
    </row>
    <row r="33" spans="1:7" x14ac:dyDescent="0.15">
      <c r="A33" s="285" t="s">
        <v>161</v>
      </c>
    </row>
    <row r="34" spans="1:7" x14ac:dyDescent="0.15">
      <c r="A34" s="121" t="str">
        <f>A24</f>
        <v>Shares</v>
      </c>
      <c r="B34" s="121" t="s">
        <v>208</v>
      </c>
      <c r="C34" s="121"/>
      <c r="E34" s="9" t="s">
        <v>1351</v>
      </c>
      <c r="G34" s="9" t="s">
        <v>1352</v>
      </c>
    </row>
    <row r="35" spans="1:7" x14ac:dyDescent="0.15">
      <c r="A35" s="121">
        <v>1136</v>
      </c>
      <c r="B35" s="283">
        <f>B5</f>
        <v>0.28000000000000003</v>
      </c>
      <c r="C35" s="121">
        <f>-A35*B35</f>
        <v>-318.08000000000004</v>
      </c>
      <c r="E35" s="9">
        <f>A35*9/2</f>
        <v>5112</v>
      </c>
      <c r="F35" s="9" t="s">
        <v>158</v>
      </c>
      <c r="G35" s="9">
        <f>A25-A31-E35</f>
        <v>0</v>
      </c>
    </row>
    <row r="37" spans="1:7" x14ac:dyDescent="0.15">
      <c r="A37" s="282" t="s">
        <v>428</v>
      </c>
    </row>
    <row r="39" spans="1:7" x14ac:dyDescent="0.15">
      <c r="A39" s="286" t="s">
        <v>160</v>
      </c>
    </row>
    <row r="40" spans="1:7" x14ac:dyDescent="0.15">
      <c r="A40" s="121" t="s">
        <v>159</v>
      </c>
      <c r="B40" s="121" t="s">
        <v>208</v>
      </c>
      <c r="C40" s="121" t="s">
        <v>1085</v>
      </c>
    </row>
    <row r="41" spans="1:7" x14ac:dyDescent="0.15">
      <c r="A41" s="121">
        <f>A25+A35</f>
        <v>10136</v>
      </c>
      <c r="B41" s="283">
        <f>B19</f>
        <v>0.64818181818181819</v>
      </c>
      <c r="C41" s="116">
        <f>A41*B41</f>
        <v>6569.9709090909091</v>
      </c>
    </row>
    <row r="42" spans="1:7" x14ac:dyDescent="0.15">
      <c r="A42" s="121"/>
      <c r="B42" s="283"/>
      <c r="C42" s="121"/>
    </row>
    <row r="43" spans="1:7" x14ac:dyDescent="0.15">
      <c r="A43" s="286" t="s">
        <v>163</v>
      </c>
      <c r="B43" s="121"/>
      <c r="C43" s="116">
        <f>C31+C35</f>
        <v>2.9090909090825789E-2</v>
      </c>
    </row>
    <row r="44" spans="1:7" x14ac:dyDescent="0.15">
      <c r="C44" s="240"/>
    </row>
    <row r="45" spans="1:7" x14ac:dyDescent="0.15">
      <c r="A45" s="13" t="s">
        <v>962</v>
      </c>
      <c r="B45" s="13"/>
      <c r="C45" s="284">
        <f>C41+C43</f>
        <v>6570</v>
      </c>
    </row>
  </sheetData>
  <mergeCells count="1">
    <mergeCell ref="B11:C11"/>
  </mergeCells>
  <phoneticPr fontId="4" type="noConversion"/>
  <pageMargins left="0.7" right="0.7" top="0.75" bottom="0.75" header="0.3" footer="0.3"/>
  <pageSetup paperSize="9" scale="71" fitToHeight="0" orientation="portrait" r:id="rId1"/>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9"/>
  <sheetViews>
    <sheetView showGridLines="0" workbookViewId="0">
      <selection activeCell="C20" sqref="C20"/>
    </sheetView>
  </sheetViews>
  <sheetFormatPr baseColWidth="10" defaultColWidth="10.6640625" defaultRowHeight="14" x14ac:dyDescent="0.15"/>
  <cols>
    <col min="1" max="1" width="20.6640625" style="9" bestFit="1" customWidth="1"/>
    <col min="2" max="2" width="10.6640625" style="9"/>
    <col min="3" max="3" width="11.6640625" style="9" bestFit="1" customWidth="1"/>
    <col min="4" max="4" width="9.5" style="9" bestFit="1" customWidth="1"/>
    <col min="5" max="16384" width="10.6640625" style="9"/>
  </cols>
  <sheetData>
    <row r="1" spans="1:3" x14ac:dyDescent="0.15">
      <c r="A1" s="32" t="s">
        <v>1174</v>
      </c>
    </row>
    <row r="2" spans="1:3" x14ac:dyDescent="0.15">
      <c r="A2" s="32"/>
    </row>
    <row r="3" spans="1:3" x14ac:dyDescent="0.15">
      <c r="A3" s="29" t="s">
        <v>832</v>
      </c>
      <c r="B3" s="115" t="s">
        <v>498</v>
      </c>
      <c r="C3" s="115" t="s">
        <v>499</v>
      </c>
    </row>
    <row r="4" spans="1:3" ht="15" x14ac:dyDescent="0.15">
      <c r="A4" s="12" t="s">
        <v>978</v>
      </c>
      <c r="B4" s="43">
        <v>1000</v>
      </c>
      <c r="C4" s="43">
        <v>1000</v>
      </c>
    </row>
    <row r="5" spans="1:3" ht="15" x14ac:dyDescent="0.15">
      <c r="A5" s="12" t="s">
        <v>64</v>
      </c>
      <c r="B5" s="475">
        <v>0.15</v>
      </c>
      <c r="C5" s="475"/>
    </row>
    <row r="6" spans="1:3" ht="15" x14ac:dyDescent="0.15">
      <c r="A6" s="12" t="s">
        <v>164</v>
      </c>
      <c r="B6" s="43">
        <v>50</v>
      </c>
      <c r="C6" s="43">
        <v>300</v>
      </c>
    </row>
    <row r="7" spans="1:3" x14ac:dyDescent="0.15">
      <c r="A7" s="9" t="s">
        <v>115</v>
      </c>
      <c r="B7" s="43">
        <v>50</v>
      </c>
      <c r="C7" s="43"/>
    </row>
    <row r="8" spans="1:3" x14ac:dyDescent="0.15">
      <c r="A8" s="9" t="s">
        <v>496</v>
      </c>
    </row>
    <row r="9" spans="1:3" ht="15" x14ac:dyDescent="0.15">
      <c r="A9" s="10" t="s">
        <v>1090</v>
      </c>
      <c r="B9" s="170">
        <f>B6/$B$5</f>
        <v>333.33333333333337</v>
      </c>
      <c r="C9" s="289">
        <f>C6/$B$5</f>
        <v>2000</v>
      </c>
    </row>
    <row r="10" spans="1:3" x14ac:dyDescent="0.15">
      <c r="A10" s="10"/>
      <c r="B10" s="289"/>
      <c r="C10" s="289"/>
    </row>
    <row r="11" spans="1:3" x14ac:dyDescent="0.15">
      <c r="A11" s="9" t="s">
        <v>497</v>
      </c>
    </row>
    <row r="12" spans="1:3" x14ac:dyDescent="0.15">
      <c r="A12" s="9" t="s">
        <v>165</v>
      </c>
      <c r="B12" s="43">
        <v>0</v>
      </c>
      <c r="C12" s="43">
        <f>$B$6+$C$6-B$7-B12</f>
        <v>300</v>
      </c>
    </row>
    <row r="13" spans="1:3" x14ac:dyDescent="0.15">
      <c r="A13" s="9" t="s">
        <v>166</v>
      </c>
      <c r="B13" s="105">
        <f>B$6/B$4</f>
        <v>0.05</v>
      </c>
      <c r="C13" s="105">
        <f>C$6/C$4</f>
        <v>0.3</v>
      </c>
    </row>
    <row r="14" spans="1:3" x14ac:dyDescent="0.15">
      <c r="A14" s="9" t="s">
        <v>167</v>
      </c>
      <c r="B14" s="43">
        <f>B$4*B13</f>
        <v>50</v>
      </c>
      <c r="C14" s="43">
        <f>C$4*C13</f>
        <v>300</v>
      </c>
    </row>
    <row r="15" spans="1:3" ht="30" x14ac:dyDescent="0.15">
      <c r="A15" s="12" t="s">
        <v>168</v>
      </c>
      <c r="B15" s="43">
        <f>B12*B13</f>
        <v>0</v>
      </c>
      <c r="C15" s="43">
        <f>C12*C13</f>
        <v>90</v>
      </c>
    </row>
    <row r="16" spans="1:3" ht="15" x14ac:dyDescent="0.15">
      <c r="A16" s="12" t="s">
        <v>962</v>
      </c>
      <c r="B16" s="43">
        <f>B14+B15</f>
        <v>50</v>
      </c>
      <c r="C16" s="43">
        <f>C14+C15</f>
        <v>390</v>
      </c>
    </row>
    <row r="17" spans="1:4" ht="15" x14ac:dyDescent="0.15">
      <c r="A17" s="12" t="s">
        <v>169</v>
      </c>
      <c r="B17" s="43">
        <f>B16/B$5</f>
        <v>333.33333333333337</v>
      </c>
      <c r="C17" s="43">
        <f>C16/B$5</f>
        <v>2600</v>
      </c>
    </row>
    <row r="18" spans="1:4" ht="15" x14ac:dyDescent="0.15">
      <c r="A18" s="12" t="s">
        <v>170</v>
      </c>
      <c r="B18" s="43">
        <f>B$9+B12</f>
        <v>333.33333333333337</v>
      </c>
      <c r="C18" s="43">
        <f>C$9+C12</f>
        <v>2300</v>
      </c>
    </row>
    <row r="19" spans="1:4" x14ac:dyDescent="0.15">
      <c r="A19" s="13" t="s">
        <v>122</v>
      </c>
      <c r="B19" s="43">
        <f>B17-B18</f>
        <v>0</v>
      </c>
      <c r="C19" s="43">
        <f>C17-C18</f>
        <v>300</v>
      </c>
      <c r="D19" s="289">
        <f>SUM(B19:C19)</f>
        <v>300</v>
      </c>
    </row>
    <row r="20" spans="1:4" x14ac:dyDescent="0.15">
      <c r="A20" s="13"/>
      <c r="B20" s="43"/>
      <c r="C20" s="43"/>
      <c r="D20" s="290"/>
    </row>
    <row r="21" spans="1:4" ht="15" x14ac:dyDescent="0.15">
      <c r="A21" s="12" t="s">
        <v>565</v>
      </c>
      <c r="D21" s="43"/>
    </row>
    <row r="22" spans="1:4" x14ac:dyDescent="0.15">
      <c r="A22" s="9" t="s">
        <v>165</v>
      </c>
      <c r="B22" s="43">
        <v>300</v>
      </c>
      <c r="C22" s="43">
        <f>$B$6+$C$6-B$7-B22</f>
        <v>0</v>
      </c>
      <c r="D22" s="43"/>
    </row>
    <row r="23" spans="1:4" x14ac:dyDescent="0.15">
      <c r="A23" s="9" t="s">
        <v>166</v>
      </c>
      <c r="B23" s="105">
        <f>B$6/B$4</f>
        <v>0.05</v>
      </c>
      <c r="C23" s="105">
        <f>C$6/C$4</f>
        <v>0.3</v>
      </c>
      <c r="D23" s="43"/>
    </row>
    <row r="24" spans="1:4" x14ac:dyDescent="0.15">
      <c r="A24" s="9" t="s">
        <v>167</v>
      </c>
      <c r="B24" s="43">
        <f>B$4*B23</f>
        <v>50</v>
      </c>
      <c r="C24" s="43">
        <f>C$4*C23</f>
        <v>300</v>
      </c>
      <c r="D24" s="43"/>
    </row>
    <row r="25" spans="1:4" ht="30" x14ac:dyDescent="0.15">
      <c r="A25" s="12" t="s">
        <v>168</v>
      </c>
      <c r="B25" s="43">
        <f>B22*B23</f>
        <v>15</v>
      </c>
      <c r="C25" s="43">
        <f>C22*C23</f>
        <v>0</v>
      </c>
      <c r="D25" s="43"/>
    </row>
    <row r="26" spans="1:4" ht="15" x14ac:dyDescent="0.15">
      <c r="A26" s="12" t="s">
        <v>962</v>
      </c>
      <c r="B26" s="43">
        <f>B24+B25</f>
        <v>65</v>
      </c>
      <c r="C26" s="43">
        <f>C24+C25</f>
        <v>300</v>
      </c>
      <c r="D26" s="43"/>
    </row>
    <row r="27" spans="1:4" ht="15" x14ac:dyDescent="0.15">
      <c r="A27" s="12" t="s">
        <v>169</v>
      </c>
      <c r="B27" s="43">
        <f>B26/B$5</f>
        <v>433.33333333333337</v>
      </c>
      <c r="C27" s="43">
        <f>C26/B$5</f>
        <v>2000</v>
      </c>
      <c r="D27" s="43"/>
    </row>
    <row r="28" spans="1:4" ht="15" x14ac:dyDescent="0.15">
      <c r="A28" s="12" t="s">
        <v>171</v>
      </c>
      <c r="B28" s="43">
        <f>B$9+B22</f>
        <v>633.33333333333337</v>
      </c>
      <c r="C28" s="43">
        <f>C$9+C22</f>
        <v>2000</v>
      </c>
      <c r="D28" s="43"/>
    </row>
    <row r="29" spans="1:4" x14ac:dyDescent="0.15">
      <c r="A29" s="13" t="s">
        <v>122</v>
      </c>
      <c r="B29" s="43">
        <f>B27-B28</f>
        <v>-200</v>
      </c>
      <c r="C29" s="43">
        <f>C27-C28</f>
        <v>0</v>
      </c>
      <c r="D29" s="289">
        <f>SUM(B29:C29)</f>
        <v>-200</v>
      </c>
    </row>
    <row r="30" spans="1:4" x14ac:dyDescent="0.15">
      <c r="A30" s="13"/>
      <c r="B30" s="43"/>
      <c r="C30" s="43"/>
      <c r="D30" s="289"/>
    </row>
    <row r="31" spans="1:4" ht="15" x14ac:dyDescent="0.15">
      <c r="A31" s="12" t="s">
        <v>566</v>
      </c>
      <c r="D31" s="43"/>
    </row>
    <row r="32" spans="1:4" x14ac:dyDescent="0.15">
      <c r="A32" s="9" t="s">
        <v>165</v>
      </c>
      <c r="B32" s="43">
        <v>150</v>
      </c>
      <c r="C32" s="43">
        <f>$B$6+$C$6-B$7-B32</f>
        <v>150</v>
      </c>
      <c r="D32" s="43"/>
    </row>
    <row r="33" spans="1:4" x14ac:dyDescent="0.15">
      <c r="A33" s="9" t="s">
        <v>166</v>
      </c>
      <c r="B33" s="105">
        <f>B$6/B$4</f>
        <v>0.05</v>
      </c>
      <c r="C33" s="105">
        <f>C$6/C$4</f>
        <v>0.3</v>
      </c>
      <c r="D33" s="43"/>
    </row>
    <row r="34" spans="1:4" x14ac:dyDescent="0.15">
      <c r="A34" s="9" t="s">
        <v>167</v>
      </c>
      <c r="B34" s="43">
        <f>B$4*B33</f>
        <v>50</v>
      </c>
      <c r="C34" s="43">
        <f>C$4*C33</f>
        <v>300</v>
      </c>
      <c r="D34" s="43"/>
    </row>
    <row r="35" spans="1:4" ht="30" x14ac:dyDescent="0.15">
      <c r="A35" s="12" t="s">
        <v>168</v>
      </c>
      <c r="B35" s="43">
        <f>B32*B33</f>
        <v>7.5</v>
      </c>
      <c r="C35" s="43">
        <f>C32*C33</f>
        <v>45</v>
      </c>
      <c r="D35" s="43"/>
    </row>
    <row r="36" spans="1:4" ht="15" x14ac:dyDescent="0.15">
      <c r="A36" s="12" t="s">
        <v>962</v>
      </c>
      <c r="B36" s="43">
        <f>B34+B35</f>
        <v>57.5</v>
      </c>
      <c r="C36" s="43">
        <f>C34+C35</f>
        <v>345</v>
      </c>
      <c r="D36" s="43"/>
    </row>
    <row r="37" spans="1:4" ht="15" x14ac:dyDescent="0.15">
      <c r="A37" s="12" t="s">
        <v>169</v>
      </c>
      <c r="B37" s="43">
        <f>B36/B$5</f>
        <v>383.33333333333337</v>
      </c>
      <c r="C37" s="43">
        <f>C36/B$5</f>
        <v>2300</v>
      </c>
      <c r="D37" s="43"/>
    </row>
    <row r="38" spans="1:4" ht="15" x14ac:dyDescent="0.15">
      <c r="A38" s="12" t="s">
        <v>171</v>
      </c>
      <c r="B38" s="43">
        <f>B$9+B32</f>
        <v>483.33333333333337</v>
      </c>
      <c r="C38" s="43">
        <f>C$9+C32</f>
        <v>2150</v>
      </c>
      <c r="D38" s="43"/>
    </row>
    <row r="39" spans="1:4" x14ac:dyDescent="0.15">
      <c r="A39" s="13" t="s">
        <v>122</v>
      </c>
      <c r="B39" s="43">
        <f>B37-B38</f>
        <v>-100</v>
      </c>
      <c r="C39" s="43">
        <f>C37-C38</f>
        <v>150</v>
      </c>
      <c r="D39" s="289">
        <f>SUM(B39:C39)</f>
        <v>50</v>
      </c>
    </row>
  </sheetData>
  <mergeCells count="1">
    <mergeCell ref="B5:C5"/>
  </mergeCells>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2"/>
  <sheetViews>
    <sheetView showGridLines="0" workbookViewId="0">
      <selection activeCell="C20" sqref="C20"/>
    </sheetView>
  </sheetViews>
  <sheetFormatPr baseColWidth="10" defaultColWidth="10.6640625" defaultRowHeight="14" x14ac:dyDescent="0.15"/>
  <cols>
    <col min="1" max="1" width="38" style="9" customWidth="1"/>
    <col min="2" max="16384" width="10.6640625" style="9"/>
  </cols>
  <sheetData>
    <row r="1" spans="1:6" x14ac:dyDescent="0.15">
      <c r="A1" s="32" t="s">
        <v>352</v>
      </c>
    </row>
    <row r="2" spans="1:6" x14ac:dyDescent="0.15">
      <c r="A2" s="32"/>
    </row>
    <row r="3" spans="1:6" x14ac:dyDescent="0.15">
      <c r="B3" s="121" t="s">
        <v>500</v>
      </c>
      <c r="C3" s="121" t="s">
        <v>501</v>
      </c>
    </row>
    <row r="4" spans="1:6" x14ac:dyDescent="0.15">
      <c r="A4" s="9" t="s">
        <v>546</v>
      </c>
      <c r="B4" s="9">
        <f>B6/B5</f>
        <v>10</v>
      </c>
      <c r="C4" s="9">
        <v>18</v>
      </c>
    </row>
    <row r="5" spans="1:6" x14ac:dyDescent="0.15">
      <c r="A5" s="9" t="s">
        <v>547</v>
      </c>
      <c r="B5" s="9">
        <v>140</v>
      </c>
      <c r="C5" s="9">
        <f>+C6/C4</f>
        <v>55</v>
      </c>
    </row>
    <row r="6" spans="1:6" x14ac:dyDescent="0.15">
      <c r="A6" s="9" t="s">
        <v>549</v>
      </c>
      <c r="B6" s="9">
        <v>1400</v>
      </c>
      <c r="C6" s="9">
        <v>990</v>
      </c>
    </row>
    <row r="7" spans="1:6" x14ac:dyDescent="0.15">
      <c r="A7" s="9" t="s">
        <v>548</v>
      </c>
      <c r="B7" s="9">
        <f>B6</f>
        <v>1400</v>
      </c>
      <c r="C7" s="9">
        <f>C6</f>
        <v>990</v>
      </c>
    </row>
    <row r="8" spans="1:6" x14ac:dyDescent="0.15">
      <c r="C8" s="106"/>
      <c r="D8" s="106"/>
      <c r="E8" s="106"/>
      <c r="F8" s="106"/>
    </row>
    <row r="9" spans="1:6" x14ac:dyDescent="0.15">
      <c r="A9" s="9" t="s">
        <v>551</v>
      </c>
      <c r="B9" s="9">
        <f>B5</f>
        <v>140</v>
      </c>
      <c r="C9" s="106"/>
      <c r="D9" s="106"/>
      <c r="E9" s="106"/>
      <c r="F9" s="106"/>
    </row>
    <row r="10" spans="1:6" x14ac:dyDescent="0.15">
      <c r="A10" s="9" t="s">
        <v>552</v>
      </c>
      <c r="B10" s="9">
        <f>C5</f>
        <v>55</v>
      </c>
    </row>
    <row r="11" spans="1:6" x14ac:dyDescent="0.15">
      <c r="A11" s="9" t="s">
        <v>683</v>
      </c>
      <c r="B11" s="9">
        <f>B10*50%</f>
        <v>27.5</v>
      </c>
    </row>
    <row r="12" spans="1:6" x14ac:dyDescent="0.15">
      <c r="A12" s="9" t="s">
        <v>550</v>
      </c>
      <c r="B12" s="9">
        <f>SUM(B9:B11)</f>
        <v>222.5</v>
      </c>
    </row>
    <row r="14" spans="1:6" x14ac:dyDescent="0.15">
      <c r="A14" s="9" t="s">
        <v>553</v>
      </c>
      <c r="B14" s="104">
        <f>B12/B9-1</f>
        <v>0.58928571428571419</v>
      </c>
    </row>
    <row r="15" spans="1:6" x14ac:dyDescent="0.15">
      <c r="A15" s="9" t="s">
        <v>554</v>
      </c>
      <c r="B15" s="104">
        <f>C6/B6</f>
        <v>0.70714285714285718</v>
      </c>
    </row>
    <row r="16" spans="1:6" x14ac:dyDescent="0.15">
      <c r="A16" s="9" t="s">
        <v>555</v>
      </c>
      <c r="B16" s="104">
        <f>(1+B14)/(1+B15)-1</f>
        <v>-6.9037656903765843E-2</v>
      </c>
    </row>
    <row r="19" spans="1:2" x14ac:dyDescent="0.15">
      <c r="A19" s="32" t="s">
        <v>974</v>
      </c>
    </row>
    <row r="20" spans="1:2" x14ac:dyDescent="0.15">
      <c r="A20" s="13"/>
    </row>
    <row r="21" spans="1:2" x14ac:dyDescent="0.15">
      <c r="A21" s="291" t="s">
        <v>6</v>
      </c>
    </row>
    <row r="22" spans="1:2" x14ac:dyDescent="0.15">
      <c r="A22" s="291"/>
      <c r="B22" s="9">
        <v>2013</v>
      </c>
    </row>
    <row r="23" spans="1:2" x14ac:dyDescent="0.15">
      <c r="A23" s="9" t="s">
        <v>556</v>
      </c>
      <c r="B23" s="162">
        <v>8.6999999999999994E-2</v>
      </c>
    </row>
    <row r="24" spans="1:2" x14ac:dyDescent="0.15">
      <c r="A24" s="9" t="s">
        <v>557</v>
      </c>
      <c r="B24" s="9">
        <v>1034</v>
      </c>
    </row>
    <row r="26" spans="1:2" x14ac:dyDescent="0.15">
      <c r="A26" s="9" t="s">
        <v>982</v>
      </c>
      <c r="B26" s="9">
        <v>68</v>
      </c>
    </row>
    <row r="27" spans="1:2" x14ac:dyDescent="0.15">
      <c r="A27" s="9" t="s">
        <v>221</v>
      </c>
      <c r="B27" s="104">
        <v>0.4</v>
      </c>
    </row>
    <row r="28" spans="1:2" x14ac:dyDescent="0.15">
      <c r="A28" s="9" t="s">
        <v>978</v>
      </c>
      <c r="B28" s="9">
        <v>904</v>
      </c>
    </row>
    <row r="29" spans="1:2" x14ac:dyDescent="0.15">
      <c r="A29" s="9" t="s">
        <v>558</v>
      </c>
      <c r="B29" s="9">
        <v>904</v>
      </c>
    </row>
    <row r="31" spans="1:2" x14ac:dyDescent="0.15">
      <c r="A31" s="9" t="s">
        <v>685</v>
      </c>
      <c r="B31" s="31">
        <f>B26*(1-B27)-B28*B23</f>
        <v>-37.847999999999999</v>
      </c>
    </row>
    <row r="32" spans="1:2" x14ac:dyDescent="0.15">
      <c r="A32" s="9" t="s">
        <v>684</v>
      </c>
      <c r="B32" s="9">
        <f>B24-B29</f>
        <v>130</v>
      </c>
    </row>
  </sheetData>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32">
    <pageSetUpPr fitToPage="1"/>
  </sheetPr>
  <dimension ref="A1:IV299"/>
  <sheetViews>
    <sheetView showGridLines="0" tabSelected="1" topLeftCell="A120" workbookViewId="0">
      <selection activeCell="B148" sqref="B148"/>
    </sheetView>
  </sheetViews>
  <sheetFormatPr baseColWidth="10" defaultColWidth="10.6640625" defaultRowHeight="14" x14ac:dyDescent="0.15"/>
  <cols>
    <col min="1" max="1" width="43.33203125" style="9" customWidth="1"/>
    <col min="2" max="2" width="13.5" style="9" customWidth="1"/>
    <col min="3" max="3" width="11.5" style="9" customWidth="1"/>
    <col min="4" max="12" width="11.5" style="9" bestFit="1" customWidth="1"/>
    <col min="13" max="16384" width="10.6640625" style="9"/>
  </cols>
  <sheetData>
    <row r="1" spans="1:256" ht="15" x14ac:dyDescent="0.15">
      <c r="A1" s="8" t="s">
        <v>352</v>
      </c>
    </row>
    <row r="2" spans="1:256" ht="15" x14ac:dyDescent="0.15">
      <c r="A2" s="12" t="s">
        <v>1092</v>
      </c>
      <c r="B2" s="16">
        <v>20</v>
      </c>
      <c r="C2" s="9" t="s">
        <v>853</v>
      </c>
    </row>
    <row r="3" spans="1:256" ht="15" x14ac:dyDescent="0.15">
      <c r="A3" s="12" t="s">
        <v>1094</v>
      </c>
      <c r="B3" s="9">
        <v>5</v>
      </c>
      <c r="C3" s="9" t="s">
        <v>1099</v>
      </c>
    </row>
    <row r="4" spans="1:256" ht="15" x14ac:dyDescent="0.15">
      <c r="A4" s="12" t="s">
        <v>1093</v>
      </c>
      <c r="B4" s="16">
        <v>1.5</v>
      </c>
      <c r="C4" s="9" t="s">
        <v>853</v>
      </c>
    </row>
    <row r="5" spans="1:256" ht="15" x14ac:dyDescent="0.15">
      <c r="A5" s="12" t="s">
        <v>1095</v>
      </c>
      <c r="B5" s="9">
        <v>8</v>
      </c>
      <c r="C5" s="9" t="s">
        <v>1099</v>
      </c>
    </row>
    <row r="6" spans="1:256" ht="15" x14ac:dyDescent="0.15">
      <c r="A6" s="12" t="s">
        <v>1096</v>
      </c>
      <c r="B6" s="16">
        <v>0</v>
      </c>
    </row>
    <row r="7" spans="1:256" s="272" customFormat="1" x14ac:dyDescent="0.15">
      <c r="A7" s="272" t="s">
        <v>1097</v>
      </c>
      <c r="B7" s="292">
        <v>2.5</v>
      </c>
      <c r="C7" s="272" t="s">
        <v>853</v>
      </c>
    </row>
    <row r="8" spans="1:256" ht="15" x14ac:dyDescent="0.15">
      <c r="A8" s="12" t="s">
        <v>1098</v>
      </c>
      <c r="B8" s="16">
        <v>3</v>
      </c>
      <c r="C8" s="9" t="s">
        <v>853</v>
      </c>
    </row>
    <row r="9" spans="1:256" ht="15" x14ac:dyDescent="0.15">
      <c r="A9" s="12" t="s">
        <v>221</v>
      </c>
      <c r="B9" s="104">
        <v>0.4</v>
      </c>
    </row>
    <row r="11" spans="1:256" x14ac:dyDescent="0.15">
      <c r="A11" s="293" t="s">
        <v>1100</v>
      </c>
    </row>
    <row r="12" spans="1:256" ht="15" x14ac:dyDescent="0.15">
      <c r="A12" s="294" t="s">
        <v>51</v>
      </c>
      <c r="B12" s="187">
        <v>0</v>
      </c>
      <c r="C12" s="29">
        <v>1</v>
      </c>
      <c r="D12" s="29">
        <v>2</v>
      </c>
      <c r="E12" s="29">
        <v>3</v>
      </c>
      <c r="F12" s="29">
        <v>4</v>
      </c>
      <c r="G12" s="29">
        <v>5</v>
      </c>
      <c r="H12" s="29">
        <v>6</v>
      </c>
      <c r="I12" s="29">
        <v>7</v>
      </c>
      <c r="J12" s="29">
        <v>8</v>
      </c>
    </row>
    <row r="13" spans="1:256" ht="15" x14ac:dyDescent="0.15">
      <c r="A13" s="12" t="s">
        <v>47</v>
      </c>
      <c r="B13" s="295">
        <f>-B2-B4</f>
        <v>-21.5</v>
      </c>
      <c r="J13" s="16">
        <f>B6</f>
        <v>0</v>
      </c>
    </row>
    <row r="14" spans="1:256" ht="15" x14ac:dyDescent="0.15">
      <c r="A14" s="12" t="s">
        <v>1101</v>
      </c>
      <c r="B14" s="190"/>
      <c r="C14" s="16">
        <f>$B8</f>
        <v>3</v>
      </c>
      <c r="D14" s="16">
        <f t="shared" ref="D14:J14" si="0">$B8</f>
        <v>3</v>
      </c>
      <c r="E14" s="16">
        <f t="shared" si="0"/>
        <v>3</v>
      </c>
      <c r="F14" s="16">
        <f t="shared" si="0"/>
        <v>3</v>
      </c>
      <c r="G14" s="16">
        <f t="shared" si="0"/>
        <v>3</v>
      </c>
      <c r="H14" s="16">
        <f t="shared" si="0"/>
        <v>3</v>
      </c>
      <c r="I14" s="16">
        <f t="shared" si="0"/>
        <v>3</v>
      </c>
      <c r="J14" s="16">
        <f t="shared" si="0"/>
        <v>3</v>
      </c>
      <c r="K14" s="16"/>
    </row>
    <row r="15" spans="1:256" ht="15" x14ac:dyDescent="0.15">
      <c r="A15" s="12" t="s">
        <v>1102</v>
      </c>
      <c r="B15" s="190"/>
      <c r="C15" s="16">
        <f>-$B7</f>
        <v>-2.5</v>
      </c>
      <c r="D15" s="16"/>
      <c r="E15" s="16"/>
      <c r="F15" s="16"/>
      <c r="G15" s="16"/>
      <c r="H15" s="16"/>
      <c r="I15" s="16"/>
      <c r="J15" s="16">
        <f>-C15</f>
        <v>2.5</v>
      </c>
      <c r="K15" s="16"/>
    </row>
    <row r="16" spans="1:256" s="106" customFormat="1" ht="15" x14ac:dyDescent="0.15">
      <c r="A16" s="294" t="s">
        <v>1103</v>
      </c>
      <c r="B16" s="187"/>
      <c r="C16" s="296">
        <f>-(C14-C19)*$B9</f>
        <v>0.4</v>
      </c>
      <c r="D16" s="296">
        <f t="shared" ref="D16:J16" si="1">-(D14-D19)*$B9</f>
        <v>0.4</v>
      </c>
      <c r="E16" s="296">
        <f t="shared" si="1"/>
        <v>0.4</v>
      </c>
      <c r="F16" s="296">
        <f t="shared" si="1"/>
        <v>0.4</v>
      </c>
      <c r="G16" s="296">
        <f t="shared" si="1"/>
        <v>0.4</v>
      </c>
      <c r="H16" s="296">
        <f t="shared" si="1"/>
        <v>-1.2000000000000002</v>
      </c>
      <c r="I16" s="296">
        <f t="shared" si="1"/>
        <v>-1.2000000000000002</v>
      </c>
      <c r="J16" s="296">
        <f t="shared" si="1"/>
        <v>-1.2000000000000002</v>
      </c>
      <c r="K16" s="297"/>
      <c r="M16" s="298"/>
      <c r="N16" s="298"/>
      <c r="O16" s="298"/>
      <c r="P16" s="298"/>
      <c r="Q16" s="298"/>
      <c r="R16" s="298"/>
      <c r="S16" s="298"/>
      <c r="T16" s="298"/>
      <c r="U16" s="297"/>
      <c r="W16" s="298"/>
      <c r="X16" s="298"/>
      <c r="Y16" s="298"/>
      <c r="Z16" s="298"/>
      <c r="AA16" s="298"/>
      <c r="AB16" s="298"/>
      <c r="AC16" s="298"/>
      <c r="AD16" s="298"/>
      <c r="AE16" s="297"/>
      <c r="AG16" s="298"/>
      <c r="AH16" s="298"/>
      <c r="AI16" s="298"/>
      <c r="AJ16" s="298"/>
      <c r="AK16" s="298"/>
      <c r="AL16" s="298"/>
      <c r="AM16" s="298"/>
      <c r="AN16" s="298"/>
      <c r="AO16" s="297"/>
      <c r="AQ16" s="298"/>
      <c r="AR16" s="298"/>
      <c r="AS16" s="298"/>
      <c r="AT16" s="298"/>
      <c r="AU16" s="298"/>
      <c r="AV16" s="298"/>
      <c r="AW16" s="298"/>
      <c r="AX16" s="298"/>
      <c r="AY16" s="297"/>
      <c r="BA16" s="298"/>
      <c r="BB16" s="298"/>
      <c r="BC16" s="298"/>
      <c r="BD16" s="298"/>
      <c r="BE16" s="298"/>
      <c r="BF16" s="298"/>
      <c r="BG16" s="298"/>
      <c r="BH16" s="298"/>
      <c r="BI16" s="297"/>
      <c r="BK16" s="298"/>
      <c r="BL16" s="298"/>
      <c r="BM16" s="298"/>
      <c r="BN16" s="298"/>
      <c r="BO16" s="298"/>
      <c r="BP16" s="298"/>
      <c r="BQ16" s="298"/>
      <c r="BR16" s="298"/>
      <c r="BS16" s="297"/>
      <c r="BU16" s="298"/>
      <c r="BV16" s="298"/>
      <c r="BW16" s="298"/>
      <c r="BX16" s="298"/>
      <c r="BY16" s="298"/>
      <c r="BZ16" s="298"/>
      <c r="CA16" s="298"/>
      <c r="CB16" s="298"/>
      <c r="CC16" s="297"/>
      <c r="CE16" s="298"/>
      <c r="CF16" s="298"/>
      <c r="CG16" s="298"/>
      <c r="CH16" s="298"/>
      <c r="CI16" s="298"/>
      <c r="CJ16" s="298"/>
      <c r="CK16" s="298"/>
      <c r="CL16" s="298"/>
      <c r="CM16" s="297"/>
      <c r="CO16" s="298"/>
      <c r="CP16" s="298"/>
      <c r="CQ16" s="298"/>
      <c r="CR16" s="298"/>
      <c r="CS16" s="298"/>
      <c r="CT16" s="298"/>
      <c r="CU16" s="298"/>
      <c r="CV16" s="298"/>
      <c r="CW16" s="297"/>
      <c r="CY16" s="298"/>
      <c r="CZ16" s="298"/>
      <c r="DA16" s="298"/>
      <c r="DB16" s="298"/>
      <c r="DC16" s="298"/>
      <c r="DD16" s="298"/>
      <c r="DE16" s="298"/>
      <c r="DF16" s="298"/>
      <c r="DG16" s="297"/>
      <c r="DI16" s="298"/>
      <c r="DJ16" s="298"/>
      <c r="DK16" s="298"/>
      <c r="DL16" s="298"/>
      <c r="DM16" s="298"/>
      <c r="DN16" s="298"/>
      <c r="DO16" s="298"/>
      <c r="DP16" s="298"/>
      <c r="DQ16" s="297"/>
      <c r="DS16" s="298"/>
      <c r="DT16" s="298"/>
      <c r="DU16" s="298"/>
      <c r="DV16" s="298"/>
      <c r="DW16" s="298"/>
      <c r="DX16" s="298"/>
      <c r="DY16" s="298"/>
      <c r="DZ16" s="298"/>
      <c r="EA16" s="297"/>
      <c r="EC16" s="298"/>
      <c r="ED16" s="298"/>
      <c r="EE16" s="298"/>
      <c r="EF16" s="298"/>
      <c r="EG16" s="298"/>
      <c r="EH16" s="298"/>
      <c r="EI16" s="298"/>
      <c r="EJ16" s="298"/>
      <c r="EK16" s="297"/>
      <c r="EM16" s="298"/>
      <c r="EN16" s="298"/>
      <c r="EO16" s="298"/>
      <c r="EP16" s="298"/>
      <c r="EQ16" s="298"/>
      <c r="ER16" s="298"/>
      <c r="ES16" s="298"/>
      <c r="ET16" s="298"/>
      <c r="EU16" s="297"/>
      <c r="EW16" s="298"/>
      <c r="EX16" s="298"/>
      <c r="EY16" s="298"/>
      <c r="EZ16" s="298"/>
      <c r="FA16" s="298"/>
      <c r="FB16" s="298"/>
      <c r="FC16" s="298"/>
      <c r="FD16" s="298"/>
      <c r="FE16" s="297"/>
      <c r="FG16" s="298"/>
      <c r="FH16" s="298"/>
      <c r="FI16" s="298"/>
      <c r="FJ16" s="298"/>
      <c r="FK16" s="298"/>
      <c r="FL16" s="298"/>
      <c r="FM16" s="298"/>
      <c r="FN16" s="298"/>
      <c r="FO16" s="297"/>
      <c r="FQ16" s="298"/>
      <c r="FR16" s="298"/>
      <c r="FS16" s="298"/>
      <c r="FT16" s="298"/>
      <c r="FU16" s="298"/>
      <c r="FV16" s="298"/>
      <c r="FW16" s="298"/>
      <c r="FX16" s="298"/>
      <c r="FY16" s="297"/>
      <c r="GA16" s="298"/>
      <c r="GB16" s="298"/>
      <c r="GC16" s="298"/>
      <c r="GD16" s="298"/>
      <c r="GE16" s="298"/>
      <c r="GF16" s="298"/>
      <c r="GG16" s="298"/>
      <c r="GH16" s="298"/>
      <c r="GI16" s="297"/>
      <c r="GK16" s="298"/>
      <c r="GL16" s="298"/>
      <c r="GM16" s="298"/>
      <c r="GN16" s="298"/>
      <c r="GO16" s="298"/>
      <c r="GP16" s="298"/>
      <c r="GQ16" s="298"/>
      <c r="GR16" s="298"/>
      <c r="GS16" s="297"/>
      <c r="GU16" s="298"/>
      <c r="GV16" s="298"/>
      <c r="GW16" s="298"/>
      <c r="GX16" s="298"/>
      <c r="GY16" s="298"/>
      <c r="GZ16" s="298"/>
      <c r="HA16" s="298"/>
      <c r="HB16" s="298"/>
      <c r="HC16" s="297"/>
      <c r="HE16" s="298"/>
      <c r="HF16" s="298"/>
      <c r="HG16" s="298"/>
      <c r="HH16" s="298"/>
      <c r="HI16" s="298"/>
      <c r="HJ16" s="298"/>
      <c r="HK16" s="298"/>
      <c r="HL16" s="298"/>
      <c r="HM16" s="297"/>
      <c r="HO16" s="298"/>
      <c r="HP16" s="298"/>
      <c r="HQ16" s="298"/>
      <c r="HR16" s="298"/>
      <c r="HS16" s="298"/>
      <c r="HT16" s="298"/>
      <c r="HU16" s="298"/>
      <c r="HV16" s="298"/>
      <c r="HW16" s="297"/>
      <c r="HY16" s="298"/>
      <c r="HZ16" s="298"/>
      <c r="IA16" s="298"/>
      <c r="IB16" s="298"/>
      <c r="IC16" s="298"/>
      <c r="ID16" s="298"/>
      <c r="IE16" s="298"/>
      <c r="IF16" s="298"/>
      <c r="IG16" s="297"/>
      <c r="II16" s="298"/>
      <c r="IJ16" s="298"/>
      <c r="IK16" s="298"/>
      <c r="IL16" s="298"/>
      <c r="IM16" s="298"/>
      <c r="IN16" s="298"/>
      <c r="IO16" s="298"/>
      <c r="IP16" s="298"/>
      <c r="IQ16" s="297"/>
      <c r="IS16" s="298"/>
      <c r="IT16" s="298"/>
      <c r="IU16" s="298"/>
      <c r="IV16" s="298"/>
    </row>
    <row r="17" spans="1:10" x14ac:dyDescent="0.15">
      <c r="A17" s="13" t="s">
        <v>1104</v>
      </c>
      <c r="B17" s="299">
        <f>SUM(B13:B16)</f>
        <v>-21.5</v>
      </c>
      <c r="C17" s="223">
        <f>SUM(C13:C16)</f>
        <v>0.9</v>
      </c>
      <c r="D17" s="223">
        <f t="shared" ref="D17:J17" si="2">SUM(D13:D16)</f>
        <v>3.4</v>
      </c>
      <c r="E17" s="223">
        <f t="shared" si="2"/>
        <v>3.4</v>
      </c>
      <c r="F17" s="223">
        <f t="shared" si="2"/>
        <v>3.4</v>
      </c>
      <c r="G17" s="223">
        <f t="shared" si="2"/>
        <v>3.4</v>
      </c>
      <c r="H17" s="223">
        <f t="shared" si="2"/>
        <v>1.7999999999999998</v>
      </c>
      <c r="I17" s="223">
        <f t="shared" si="2"/>
        <v>1.7999999999999998</v>
      </c>
      <c r="J17" s="223">
        <f t="shared" si="2"/>
        <v>4.3</v>
      </c>
    </row>
    <row r="19" spans="1:10" ht="15" x14ac:dyDescent="0.15">
      <c r="A19" s="12" t="s">
        <v>1105</v>
      </c>
      <c r="B19" s="106"/>
      <c r="C19" s="16">
        <f>$B2/$B3</f>
        <v>4</v>
      </c>
      <c r="D19" s="16">
        <f>$B2/$B3</f>
        <v>4</v>
      </c>
      <c r="E19" s="16">
        <f>$B2/$B3</f>
        <v>4</v>
      </c>
      <c r="F19" s="16">
        <f>$B2/$B3</f>
        <v>4</v>
      </c>
      <c r="G19" s="16">
        <f>$B2/$B3</f>
        <v>4</v>
      </c>
    </row>
    <row r="20" spans="1:10" x14ac:dyDescent="0.15">
      <c r="A20" s="12"/>
      <c r="B20" s="106"/>
      <c r="C20" s="106"/>
      <c r="D20" s="106"/>
      <c r="E20" s="106"/>
      <c r="F20" s="106"/>
      <c r="G20" s="106"/>
      <c r="H20" s="106"/>
      <c r="I20" s="106"/>
      <c r="J20" s="106"/>
    </row>
    <row r="21" spans="1:10" x14ac:dyDescent="0.15">
      <c r="A21" s="293" t="s">
        <v>1106</v>
      </c>
    </row>
    <row r="22" spans="1:10" ht="15" x14ac:dyDescent="0.15">
      <c r="A22" s="300" t="s">
        <v>1028</v>
      </c>
      <c r="B22" s="164">
        <v>0.1</v>
      </c>
    </row>
    <row r="23" spans="1:10" ht="15" x14ac:dyDescent="0.15">
      <c r="A23" s="301" t="s">
        <v>1075</v>
      </c>
      <c r="B23" s="223">
        <f>SUMPRODUCT(B17:J17,POWER(1+$B22,-B12:J12))</f>
        <v>-6.9383328349246289</v>
      </c>
    </row>
    <row r="25" spans="1:10" x14ac:dyDescent="0.15">
      <c r="A25" s="293" t="s">
        <v>1107</v>
      </c>
    </row>
    <row r="26" spans="1:10" x14ac:dyDescent="0.15">
      <c r="A26" s="13" t="s">
        <v>1123</v>
      </c>
      <c r="B26" s="302">
        <v>8.7174731443999728E-3</v>
      </c>
    </row>
    <row r="27" spans="1:10" ht="15" x14ac:dyDescent="0.15">
      <c r="A27" s="300" t="s">
        <v>1075</v>
      </c>
      <c r="B27" s="16">
        <f>SUMPRODUCT(B17:J17,POWER(1+$B26,-B12:J12))</f>
        <v>1.6521216981146836E-6</v>
      </c>
    </row>
    <row r="29" spans="1:10" ht="15" x14ac:dyDescent="0.15">
      <c r="A29" s="8" t="s">
        <v>974</v>
      </c>
    </row>
    <row r="30" spans="1:10" x14ac:dyDescent="0.15">
      <c r="A30" s="293" t="s">
        <v>1108</v>
      </c>
    </row>
    <row r="31" spans="1:10" x14ac:dyDescent="0.15">
      <c r="A31" s="9" t="s">
        <v>1109</v>
      </c>
      <c r="B31" s="16">
        <v>2</v>
      </c>
      <c r="C31" s="9" t="s">
        <v>853</v>
      </c>
    </row>
    <row r="32" spans="1:10" x14ac:dyDescent="0.15">
      <c r="A32" s="9" t="s">
        <v>1095</v>
      </c>
      <c r="B32" s="9">
        <v>5</v>
      </c>
      <c r="C32" s="9" t="s">
        <v>1099</v>
      </c>
      <c r="D32" s="9" t="s">
        <v>1110</v>
      </c>
    </row>
    <row r="33" spans="1:7" x14ac:dyDescent="0.15">
      <c r="A33" s="9" t="s">
        <v>1096</v>
      </c>
      <c r="B33" s="16">
        <v>0</v>
      </c>
      <c r="C33" s="9" t="s">
        <v>853</v>
      </c>
    </row>
    <row r="34" spans="1:7" ht="15" x14ac:dyDescent="0.15">
      <c r="A34" s="12" t="s">
        <v>1111</v>
      </c>
      <c r="B34" s="16">
        <v>0.8</v>
      </c>
      <c r="C34" s="9" t="s">
        <v>853</v>
      </c>
    </row>
    <row r="35" spans="1:7" x14ac:dyDescent="0.15">
      <c r="A35" s="293" t="s">
        <v>1112</v>
      </c>
    </row>
    <row r="36" spans="1:7" x14ac:dyDescent="0.15">
      <c r="A36" s="9" t="s">
        <v>1113</v>
      </c>
      <c r="B36" s="16">
        <v>1.5</v>
      </c>
      <c r="C36" s="9" t="s">
        <v>853</v>
      </c>
    </row>
    <row r="37" spans="1:7" x14ac:dyDescent="0.15">
      <c r="A37" s="9" t="s">
        <v>1095</v>
      </c>
      <c r="B37" s="9">
        <v>5</v>
      </c>
      <c r="C37" s="9" t="s">
        <v>1099</v>
      </c>
      <c r="D37" s="9" t="s">
        <v>1110</v>
      </c>
    </row>
    <row r="38" spans="1:7" x14ac:dyDescent="0.15">
      <c r="A38" s="9" t="s">
        <v>1096</v>
      </c>
      <c r="B38" s="16">
        <v>0</v>
      </c>
      <c r="C38" s="9" t="s">
        <v>853</v>
      </c>
    </row>
    <row r="39" spans="1:7" ht="15" x14ac:dyDescent="0.15">
      <c r="A39" s="12" t="s">
        <v>1114</v>
      </c>
      <c r="B39" s="16">
        <v>1.2</v>
      </c>
      <c r="C39" s="9" t="s">
        <v>853</v>
      </c>
    </row>
    <row r="40" spans="1:7" ht="15" x14ac:dyDescent="0.15">
      <c r="A40" s="12" t="s">
        <v>1115</v>
      </c>
      <c r="B40" s="16">
        <v>1</v>
      </c>
      <c r="C40" s="9" t="s">
        <v>853</v>
      </c>
    </row>
    <row r="42" spans="1:7" x14ac:dyDescent="0.15">
      <c r="A42" s="9" t="s">
        <v>221</v>
      </c>
      <c r="B42" s="104">
        <v>0.4</v>
      </c>
    </row>
    <row r="43" spans="1:7" ht="15" x14ac:dyDescent="0.15">
      <c r="A43" s="12" t="s">
        <v>1116</v>
      </c>
      <c r="B43" s="104">
        <v>0.12</v>
      </c>
    </row>
    <row r="44" spans="1:7" x14ac:dyDescent="0.15">
      <c r="A44" s="12"/>
    </row>
    <row r="45" spans="1:7" x14ac:dyDescent="0.15">
      <c r="A45" s="293" t="s">
        <v>1119</v>
      </c>
    </row>
    <row r="46" spans="1:7" ht="15" x14ac:dyDescent="0.15">
      <c r="A46" s="294" t="s">
        <v>801</v>
      </c>
      <c r="B46" s="303">
        <v>0</v>
      </c>
      <c r="C46" s="240">
        <f>B46+1</f>
        <v>1</v>
      </c>
      <c r="D46" s="240">
        <f>C46+1</f>
        <v>2</v>
      </c>
      <c r="E46" s="240">
        <f>D46+1</f>
        <v>3</v>
      </c>
      <c r="F46" s="240">
        <f>E46+1</f>
        <v>4</v>
      </c>
      <c r="G46" s="240">
        <f>F46+1</f>
        <v>5</v>
      </c>
    </row>
    <row r="47" spans="1:7" ht="15" x14ac:dyDescent="0.15">
      <c r="A47" s="12" t="s">
        <v>1108</v>
      </c>
      <c r="B47" s="295">
        <f>-B31</f>
        <v>-2</v>
      </c>
      <c r="G47" s="16">
        <f>B33</f>
        <v>0</v>
      </c>
    </row>
    <row r="48" spans="1:7" x14ac:dyDescent="0.15">
      <c r="A48" s="272" t="s">
        <v>1117</v>
      </c>
      <c r="B48" s="295">
        <f>-B54*$B42</f>
        <v>7.9999999999999988E-2</v>
      </c>
      <c r="G48" s="16"/>
    </row>
    <row r="49" spans="1:8" ht="15" x14ac:dyDescent="0.15">
      <c r="A49" s="12" t="s">
        <v>1101</v>
      </c>
      <c r="B49" s="190"/>
      <c r="C49" s="16">
        <f>B34</f>
        <v>0.8</v>
      </c>
      <c r="D49" s="16">
        <f>$B34</f>
        <v>0.8</v>
      </c>
      <c r="E49" s="16">
        <f>$B34</f>
        <v>0.8</v>
      </c>
      <c r="F49" s="16">
        <f>$B34</f>
        <v>0.8</v>
      </c>
      <c r="G49" s="16">
        <f>$B34</f>
        <v>0.8</v>
      </c>
    </row>
    <row r="50" spans="1:8" ht="15" x14ac:dyDescent="0.15">
      <c r="A50" s="12" t="s">
        <v>1103</v>
      </c>
      <c r="B50" s="190"/>
      <c r="C50" s="9">
        <f>-(C49-C55)*$B42</f>
        <v>-0.27999999999999997</v>
      </c>
      <c r="D50" s="9">
        <f>-(D49-D55)*$B42</f>
        <v>-0.27999999999999997</v>
      </c>
      <c r="E50" s="9">
        <f>-(E49-E55)*$B42</f>
        <v>-0.27999999999999997</v>
      </c>
      <c r="F50" s="9">
        <f>-(F49-F55)*$B42</f>
        <v>-0.27999999999999997</v>
      </c>
      <c r="G50" s="9">
        <f>-(G49-G55)*$B42</f>
        <v>-0.16000000000000003</v>
      </c>
    </row>
    <row r="51" spans="1:8" ht="15" x14ac:dyDescent="0.15">
      <c r="A51" s="294" t="s">
        <v>1120</v>
      </c>
      <c r="B51" s="304">
        <f>B40</f>
        <v>1</v>
      </c>
      <c r="C51" s="29"/>
      <c r="D51" s="29"/>
      <c r="E51" s="29"/>
      <c r="F51" s="29"/>
      <c r="G51" s="29"/>
    </row>
    <row r="52" spans="1:8" ht="15" x14ac:dyDescent="0.15">
      <c r="A52" s="12" t="s">
        <v>1118</v>
      </c>
      <c r="B52" s="305">
        <f t="shared" ref="B52:G52" si="3">SUM(B47:B51)</f>
        <v>-0.91999999999999993</v>
      </c>
      <c r="C52" s="298">
        <f t="shared" si="3"/>
        <v>0.52</v>
      </c>
      <c r="D52" s="298">
        <f t="shared" si="3"/>
        <v>0.52</v>
      </c>
      <c r="E52" s="298">
        <f t="shared" si="3"/>
        <v>0.52</v>
      </c>
      <c r="F52" s="298">
        <f t="shared" si="3"/>
        <v>0.52</v>
      </c>
      <c r="G52" s="298">
        <f t="shared" si="3"/>
        <v>0.64</v>
      </c>
    </row>
    <row r="53" spans="1:8" x14ac:dyDescent="0.15">
      <c r="A53" s="12"/>
    </row>
    <row r="54" spans="1:8" ht="15" x14ac:dyDescent="0.15">
      <c r="A54" s="12" t="s">
        <v>1121</v>
      </c>
      <c r="B54" s="16">
        <f>B40-B39</f>
        <v>-0.19999999999999996</v>
      </c>
    </row>
    <row r="55" spans="1:8" ht="15" x14ac:dyDescent="0.15">
      <c r="A55" s="12" t="s">
        <v>1122</v>
      </c>
      <c r="B55" s="190"/>
      <c r="C55" s="16">
        <f>$B31/$B32-$B36/$B37</f>
        <v>0.10000000000000003</v>
      </c>
      <c r="D55" s="16">
        <f>$B31/$B32-$B36/$B37</f>
        <v>0.10000000000000003</v>
      </c>
      <c r="E55" s="16">
        <f>$B31/$B32-$B36/$B37</f>
        <v>0.10000000000000003</v>
      </c>
      <c r="F55" s="16">
        <f>$B31/$B32-$B36/$B37</f>
        <v>0.10000000000000003</v>
      </c>
      <c r="G55" s="16">
        <f>$B31/$B32</f>
        <v>0.4</v>
      </c>
    </row>
    <row r="56" spans="1:8" x14ac:dyDescent="0.15">
      <c r="A56" s="12"/>
    </row>
    <row r="57" spans="1:8" ht="15" x14ac:dyDescent="0.15">
      <c r="A57" s="10" t="s">
        <v>1075</v>
      </c>
      <c r="B57" s="223">
        <f>SUMPRODUCT(B52:G52,POWER(1+B43,-B46:G46))</f>
        <v>1.0225748479056342</v>
      </c>
      <c r="C57" s="9" t="s">
        <v>853</v>
      </c>
    </row>
    <row r="58" spans="1:8" ht="15" x14ac:dyDescent="0.15">
      <c r="A58" s="10" t="s">
        <v>1123</v>
      </c>
      <c r="B58" s="306">
        <v>0.4991760350804994</v>
      </c>
    </row>
    <row r="59" spans="1:8" x14ac:dyDescent="0.15">
      <c r="A59" s="12"/>
      <c r="B59" s="16"/>
    </row>
    <row r="61" spans="1:8" ht="15" x14ac:dyDescent="0.15">
      <c r="A61" s="8" t="s">
        <v>984</v>
      </c>
    </row>
    <row r="62" spans="1:8" x14ac:dyDescent="0.15">
      <c r="A62" s="9" t="s">
        <v>43</v>
      </c>
      <c r="B62" s="121">
        <v>0</v>
      </c>
      <c r="C62" s="121">
        <f>B62+1</f>
        <v>1</v>
      </c>
      <c r="D62" s="121">
        <f>C62+1</f>
        <v>2</v>
      </c>
      <c r="E62" s="121">
        <f>D62+1</f>
        <v>3</v>
      </c>
      <c r="F62" s="121">
        <f>E62+1</f>
        <v>4</v>
      </c>
      <c r="G62" s="121">
        <f>F62+1</f>
        <v>5</v>
      </c>
    </row>
    <row r="63" spans="1:8" ht="15" x14ac:dyDescent="0.15">
      <c r="A63" s="12" t="s">
        <v>1104</v>
      </c>
      <c r="B63" s="16">
        <v>-100</v>
      </c>
      <c r="C63" s="16">
        <v>110</v>
      </c>
      <c r="D63" s="16">
        <v>-30</v>
      </c>
      <c r="E63" s="16">
        <v>25</v>
      </c>
      <c r="F63" s="16">
        <v>50</v>
      </c>
      <c r="G63" s="16">
        <v>100</v>
      </c>
    </row>
    <row r="64" spans="1:8" x14ac:dyDescent="0.15">
      <c r="A64" s="12"/>
      <c r="B64" s="16"/>
      <c r="C64" s="16"/>
      <c r="D64" s="16"/>
      <c r="E64" s="16"/>
      <c r="F64" s="16"/>
      <c r="G64" s="16"/>
      <c r="H64" s="16"/>
    </row>
    <row r="65" spans="1:12" ht="15" x14ac:dyDescent="0.15">
      <c r="A65" s="12" t="s">
        <v>1028</v>
      </c>
      <c r="B65" s="104">
        <v>0</v>
      </c>
    </row>
    <row r="66" spans="1:12" ht="15" x14ac:dyDescent="0.15">
      <c r="A66" s="12" t="s">
        <v>1124</v>
      </c>
      <c r="B66" s="16">
        <f>SUMPRODUCT($B63:B63,POWER(1+$B65,-$B62:B62))</f>
        <v>-100</v>
      </c>
      <c r="C66" s="16">
        <f>SUMPRODUCT($B63:C63,POWER(1+$B65,-$B62:C62))</f>
        <v>10</v>
      </c>
      <c r="D66" s="16">
        <f>SUMPRODUCT($B63:D63,POWER(1+$B65,-$B62:D62))</f>
        <v>-20</v>
      </c>
      <c r="E66" s="16">
        <f>SUMPRODUCT($B63:E63,POWER(1+$B65,-$B62:E62))</f>
        <v>5</v>
      </c>
      <c r="F66" s="16">
        <f>SUMPRODUCT($B63:F63,POWER(1+$B65,-$B62:F62))</f>
        <v>55</v>
      </c>
      <c r="G66" s="16">
        <f>SUMPRODUCT($B63:G63,POWER(1+$B65,-$B62:G62))</f>
        <v>155</v>
      </c>
    </row>
    <row r="67" spans="1:12" x14ac:dyDescent="0.15">
      <c r="B67" s="16"/>
    </row>
    <row r="68" spans="1:12" ht="15" x14ac:dyDescent="0.15">
      <c r="A68" s="12" t="s">
        <v>1116</v>
      </c>
      <c r="B68" s="164">
        <v>0.1</v>
      </c>
    </row>
    <row r="69" spans="1:12" ht="15" x14ac:dyDescent="0.15">
      <c r="A69" s="10" t="s">
        <v>1075</v>
      </c>
      <c r="B69" s="223">
        <f>SUMPRODUCT($B63:G63,POWER(1+$B68,-$B62:G62))</f>
        <v>90.232286666956398</v>
      </c>
      <c r="C69" s="307"/>
      <c r="D69" s="307"/>
      <c r="E69" s="307"/>
      <c r="F69" s="307"/>
      <c r="G69" s="307"/>
    </row>
    <row r="70" spans="1:12" ht="15" x14ac:dyDescent="0.15">
      <c r="A70" s="10" t="s">
        <v>1123</v>
      </c>
      <c r="B70" s="163">
        <v>0.42640162762533135</v>
      </c>
    </row>
    <row r="71" spans="1:12" ht="15" x14ac:dyDescent="0.15">
      <c r="A71" s="12" t="s">
        <v>1075</v>
      </c>
      <c r="B71" s="16">
        <f>SUMPRODUCT($B63:G63,POWER(1+$B70,-$B62:G62))</f>
        <v>7.3253225707503589E-9</v>
      </c>
    </row>
    <row r="73" spans="1:12" ht="15" x14ac:dyDescent="0.15">
      <c r="A73" s="8" t="s">
        <v>470</v>
      </c>
    </row>
    <row r="74" spans="1:12" x14ac:dyDescent="0.15">
      <c r="A74" s="9" t="s">
        <v>1126</v>
      </c>
      <c r="B74" s="9">
        <v>2</v>
      </c>
      <c r="C74" s="9" t="s">
        <v>853</v>
      </c>
    </row>
    <row r="75" spans="1:12" x14ac:dyDescent="0.15">
      <c r="A75" s="9" t="s">
        <v>1013</v>
      </c>
      <c r="B75" s="9">
        <v>10</v>
      </c>
      <c r="C75" s="9" t="s">
        <v>1099</v>
      </c>
    </row>
    <row r="76" spans="1:12" x14ac:dyDescent="0.15">
      <c r="A76" s="9" t="s">
        <v>1125</v>
      </c>
      <c r="B76" s="9">
        <v>0.8</v>
      </c>
      <c r="C76" s="9" t="s">
        <v>853</v>
      </c>
    </row>
    <row r="77" spans="1:12" ht="15" x14ac:dyDescent="0.15">
      <c r="A77" s="12" t="s">
        <v>1101</v>
      </c>
      <c r="B77" s="9">
        <v>-0.2</v>
      </c>
      <c r="C77" s="9" t="s">
        <v>853</v>
      </c>
    </row>
    <row r="79" spans="1:12" x14ac:dyDescent="0.15">
      <c r="A79" s="9" t="s">
        <v>1127</v>
      </c>
    </row>
    <row r="80" spans="1:12" x14ac:dyDescent="0.15">
      <c r="A80" s="250" t="s">
        <v>856</v>
      </c>
      <c r="B80" s="240">
        <v>0</v>
      </c>
      <c r="C80" s="240">
        <f>B80+1</f>
        <v>1</v>
      </c>
      <c r="D80" s="240">
        <f t="shared" ref="D80:L80" si="4">C80+1</f>
        <v>2</v>
      </c>
      <c r="E80" s="240">
        <f t="shared" si="4"/>
        <v>3</v>
      </c>
      <c r="F80" s="240">
        <f t="shared" si="4"/>
        <v>4</v>
      </c>
      <c r="G80" s="240">
        <f t="shared" si="4"/>
        <v>5</v>
      </c>
      <c r="H80" s="240">
        <f t="shared" si="4"/>
        <v>6</v>
      </c>
      <c r="I80" s="240">
        <f t="shared" si="4"/>
        <v>7</v>
      </c>
      <c r="J80" s="240">
        <f t="shared" si="4"/>
        <v>8</v>
      </c>
      <c r="K80" s="240">
        <f t="shared" si="4"/>
        <v>9</v>
      </c>
      <c r="L80" s="240">
        <f t="shared" si="4"/>
        <v>10</v>
      </c>
    </row>
    <row r="81" spans="1:12" x14ac:dyDescent="0.15">
      <c r="A81" s="251" t="s">
        <v>854</v>
      </c>
      <c r="B81" s="16">
        <f>B74</f>
        <v>2</v>
      </c>
      <c r="C81" s="16"/>
      <c r="D81" s="16"/>
      <c r="E81" s="16"/>
      <c r="F81" s="16"/>
      <c r="G81" s="16"/>
      <c r="H81" s="16"/>
      <c r="I81" s="16"/>
      <c r="J81" s="16"/>
      <c r="K81" s="16"/>
      <c r="L81" s="16"/>
    </row>
    <row r="82" spans="1:12" x14ac:dyDescent="0.15">
      <c r="A82" s="251" t="s">
        <v>1128</v>
      </c>
      <c r="B82" s="16">
        <f>-B76</f>
        <v>-0.8</v>
      </c>
      <c r="C82" s="16"/>
      <c r="D82" s="16"/>
      <c r="E82" s="16"/>
      <c r="F82" s="16"/>
      <c r="G82" s="16"/>
      <c r="H82" s="16"/>
      <c r="I82" s="16"/>
      <c r="J82" s="16"/>
      <c r="K82" s="16"/>
      <c r="L82" s="16"/>
    </row>
    <row r="83" spans="1:12" ht="15" x14ac:dyDescent="0.15">
      <c r="A83" s="308" t="s">
        <v>1101</v>
      </c>
      <c r="B83" s="296"/>
      <c r="C83" s="296">
        <f>$B77</f>
        <v>-0.2</v>
      </c>
      <c r="D83" s="296">
        <f t="shared" ref="D83:L83" si="5">$B77</f>
        <v>-0.2</v>
      </c>
      <c r="E83" s="296">
        <f t="shared" si="5"/>
        <v>-0.2</v>
      </c>
      <c r="F83" s="296">
        <f t="shared" si="5"/>
        <v>-0.2</v>
      </c>
      <c r="G83" s="296">
        <f t="shared" si="5"/>
        <v>-0.2</v>
      </c>
      <c r="H83" s="296">
        <f t="shared" si="5"/>
        <v>-0.2</v>
      </c>
      <c r="I83" s="296">
        <f t="shared" si="5"/>
        <v>-0.2</v>
      </c>
      <c r="J83" s="296">
        <f t="shared" si="5"/>
        <v>-0.2</v>
      </c>
      <c r="K83" s="296">
        <f t="shared" si="5"/>
        <v>-0.2</v>
      </c>
      <c r="L83" s="296">
        <f t="shared" si="5"/>
        <v>-0.2</v>
      </c>
    </row>
    <row r="84" spans="1:12" x14ac:dyDescent="0.15">
      <c r="A84" s="251" t="s">
        <v>1104</v>
      </c>
      <c r="B84" s="16">
        <f>SUM(B81:B83)</f>
        <v>1.2</v>
      </c>
      <c r="C84" s="16">
        <f t="shared" ref="C84:L84" si="6">SUM(C81:C83)</f>
        <v>-0.2</v>
      </c>
      <c r="D84" s="16">
        <f t="shared" si="6"/>
        <v>-0.2</v>
      </c>
      <c r="E84" s="16">
        <f t="shared" si="6"/>
        <v>-0.2</v>
      </c>
      <c r="F84" s="16">
        <f t="shared" si="6"/>
        <v>-0.2</v>
      </c>
      <c r="G84" s="16">
        <f t="shared" si="6"/>
        <v>-0.2</v>
      </c>
      <c r="H84" s="16">
        <f t="shared" si="6"/>
        <v>-0.2</v>
      </c>
      <c r="I84" s="16">
        <f t="shared" si="6"/>
        <v>-0.2</v>
      </c>
      <c r="J84" s="16">
        <f t="shared" si="6"/>
        <v>-0.2</v>
      </c>
      <c r="K84" s="16">
        <f t="shared" si="6"/>
        <v>-0.2</v>
      </c>
      <c r="L84" s="16">
        <f t="shared" si="6"/>
        <v>-0.2</v>
      </c>
    </row>
    <row r="86" spans="1:12" ht="15" x14ac:dyDescent="0.15">
      <c r="A86" s="12" t="s">
        <v>1116</v>
      </c>
      <c r="B86" s="104">
        <v>0.1</v>
      </c>
      <c r="C86" s="104">
        <f>B86+1%</f>
        <v>0.11</v>
      </c>
      <c r="D86" s="104">
        <f>C86+1%</f>
        <v>0.12</v>
      </c>
      <c r="E86" s="104">
        <f>D86+1%</f>
        <v>0.13</v>
      </c>
      <c r="F86" s="104">
        <f>E86+1%</f>
        <v>0.14000000000000001</v>
      </c>
      <c r="G86" s="104">
        <f>F86+1%</f>
        <v>0.15000000000000002</v>
      </c>
    </row>
    <row r="87" spans="1:12" ht="15" x14ac:dyDescent="0.15">
      <c r="A87" s="10" t="s">
        <v>1075</v>
      </c>
      <c r="B87" s="223">
        <f t="shared" ref="B87:G87" si="7">SUMPRODUCT($B84:$L84,POWER(1+B86,-$B80:$L80))</f>
        <v>-2.8913421140936243E-2</v>
      </c>
      <c r="C87" s="223">
        <f t="shared" si="7"/>
        <v>2.2153597771758932E-2</v>
      </c>
      <c r="D87" s="223">
        <f t="shared" si="7"/>
        <v>6.9955394317827227E-2</v>
      </c>
      <c r="E87" s="223">
        <f t="shared" si="7"/>
        <v>0.11475130480942275</v>
      </c>
      <c r="F87" s="223">
        <f t="shared" si="7"/>
        <v>0.1567768707412846</v>
      </c>
      <c r="G87" s="223">
        <f t="shared" si="7"/>
        <v>0.19624627482915372</v>
      </c>
    </row>
    <row r="90" spans="1:12" ht="15" x14ac:dyDescent="0.15">
      <c r="A90" s="8" t="s">
        <v>490</v>
      </c>
    </row>
    <row r="91" spans="1:12" x14ac:dyDescent="0.15">
      <c r="A91" s="9" t="s">
        <v>1129</v>
      </c>
      <c r="B91" s="24">
        <v>78000</v>
      </c>
    </row>
    <row r="92" spans="1:12" x14ac:dyDescent="0.15">
      <c r="A92" s="9" t="s">
        <v>1130</v>
      </c>
      <c r="B92" s="24">
        <v>3</v>
      </c>
      <c r="C92" s="9" t="s">
        <v>813</v>
      </c>
    </row>
    <row r="93" spans="1:12" x14ac:dyDescent="0.15">
      <c r="A93" s="9" t="s">
        <v>221</v>
      </c>
      <c r="B93" s="104">
        <v>0.35</v>
      </c>
    </row>
    <row r="94" spans="1:12" ht="15" x14ac:dyDescent="0.15">
      <c r="A94" s="12" t="s">
        <v>1116</v>
      </c>
      <c r="B94" s="104">
        <v>0.1</v>
      </c>
    </row>
    <row r="96" spans="1:12" x14ac:dyDescent="0.15">
      <c r="A96" s="9" t="s">
        <v>1131</v>
      </c>
      <c r="B96" s="24">
        <v>5</v>
      </c>
      <c r="C96" s="9" t="s">
        <v>813</v>
      </c>
    </row>
    <row r="98" spans="1:12" x14ac:dyDescent="0.15">
      <c r="A98" s="9" t="s">
        <v>694</v>
      </c>
      <c r="B98" s="31">
        <v>7000</v>
      </c>
    </row>
    <row r="100" spans="1:12" x14ac:dyDescent="0.15">
      <c r="A100" s="293" t="s">
        <v>463</v>
      </c>
    </row>
    <row r="101" spans="1:12" x14ac:dyDescent="0.15">
      <c r="A101" s="250" t="s">
        <v>856</v>
      </c>
      <c r="B101" s="240">
        <v>0</v>
      </c>
      <c r="C101" s="240">
        <f>B101+1</f>
        <v>1</v>
      </c>
      <c r="D101" s="240">
        <f t="shared" ref="D101:L101" si="8">C101+1</f>
        <v>2</v>
      </c>
      <c r="E101" s="240">
        <f t="shared" si="8"/>
        <v>3</v>
      </c>
      <c r="F101" s="240">
        <f t="shared" si="8"/>
        <v>4</v>
      </c>
      <c r="G101" s="240">
        <f t="shared" si="8"/>
        <v>5</v>
      </c>
      <c r="H101" s="240">
        <f t="shared" si="8"/>
        <v>6</v>
      </c>
      <c r="I101" s="240">
        <f t="shared" si="8"/>
        <v>7</v>
      </c>
      <c r="J101" s="240">
        <f t="shared" si="8"/>
        <v>8</v>
      </c>
      <c r="K101" s="240">
        <f t="shared" si="8"/>
        <v>9</v>
      </c>
      <c r="L101" s="240">
        <f t="shared" si="8"/>
        <v>10</v>
      </c>
    </row>
    <row r="102" spans="1:12" ht="15" x14ac:dyDescent="0.15">
      <c r="A102" s="309" t="s">
        <v>1132</v>
      </c>
      <c r="B102" s="24">
        <f>-B91</f>
        <v>-78000</v>
      </c>
      <c r="C102" s="24"/>
      <c r="D102" s="24"/>
      <c r="E102" s="24"/>
      <c r="F102" s="24"/>
      <c r="G102" s="24"/>
      <c r="H102" s="24"/>
      <c r="I102" s="24"/>
      <c r="J102" s="24"/>
      <c r="K102" s="24"/>
      <c r="L102" s="24"/>
    </row>
    <row r="103" spans="1:12" ht="15" x14ac:dyDescent="0.15">
      <c r="A103" s="310" t="s">
        <v>859</v>
      </c>
      <c r="B103" s="24"/>
      <c r="C103" s="24">
        <f>$B98*($B96-$B92)</f>
        <v>14000</v>
      </c>
      <c r="D103" s="24">
        <f t="shared" ref="D103:L103" si="9">$B98*($B96-$B92)</f>
        <v>14000</v>
      </c>
      <c r="E103" s="24">
        <f t="shared" si="9"/>
        <v>14000</v>
      </c>
      <c r="F103" s="24">
        <f t="shared" si="9"/>
        <v>14000</v>
      </c>
      <c r="G103" s="24">
        <f t="shared" si="9"/>
        <v>14000</v>
      </c>
      <c r="H103" s="24">
        <f t="shared" si="9"/>
        <v>14000</v>
      </c>
      <c r="I103" s="24">
        <f t="shared" si="9"/>
        <v>14000</v>
      </c>
      <c r="J103" s="24">
        <f t="shared" si="9"/>
        <v>14000</v>
      </c>
      <c r="K103" s="24">
        <f t="shared" si="9"/>
        <v>14000</v>
      </c>
      <c r="L103" s="24">
        <f t="shared" si="9"/>
        <v>14000</v>
      </c>
    </row>
    <row r="104" spans="1:12" ht="15" x14ac:dyDescent="0.15">
      <c r="A104" s="311" t="s">
        <v>1133</v>
      </c>
      <c r="B104" s="312"/>
      <c r="C104" s="312">
        <f>-(C103-C107)*$B93</f>
        <v>-2170</v>
      </c>
      <c r="D104" s="312">
        <f t="shared" ref="D104:L104" si="10">-(D103-D107)*$B93</f>
        <v>-2170</v>
      </c>
      <c r="E104" s="312">
        <f t="shared" si="10"/>
        <v>-2170</v>
      </c>
      <c r="F104" s="312">
        <f t="shared" si="10"/>
        <v>-2170</v>
      </c>
      <c r="G104" s="312">
        <f t="shared" si="10"/>
        <v>-2170</v>
      </c>
      <c r="H104" s="312">
        <f t="shared" si="10"/>
        <v>-2170</v>
      </c>
      <c r="I104" s="312">
        <f t="shared" si="10"/>
        <v>-2170</v>
      </c>
      <c r="J104" s="312">
        <f t="shared" si="10"/>
        <v>-2170</v>
      </c>
      <c r="K104" s="312">
        <f t="shared" si="10"/>
        <v>-2170</v>
      </c>
      <c r="L104" s="312">
        <f t="shared" si="10"/>
        <v>-2170</v>
      </c>
    </row>
    <row r="105" spans="1:12" x14ac:dyDescent="0.15">
      <c r="A105" s="251" t="s">
        <v>1104</v>
      </c>
      <c r="B105" s="24">
        <f t="shared" ref="B105:L105" si="11">SUM(B102:B104)</f>
        <v>-78000</v>
      </c>
      <c r="C105" s="24">
        <f t="shared" si="11"/>
        <v>11830</v>
      </c>
      <c r="D105" s="24">
        <f t="shared" si="11"/>
        <v>11830</v>
      </c>
      <c r="E105" s="24">
        <f t="shared" si="11"/>
        <v>11830</v>
      </c>
      <c r="F105" s="24">
        <f t="shared" si="11"/>
        <v>11830</v>
      </c>
      <c r="G105" s="24">
        <f t="shared" si="11"/>
        <v>11830</v>
      </c>
      <c r="H105" s="24">
        <f t="shared" si="11"/>
        <v>11830</v>
      </c>
      <c r="I105" s="24">
        <f t="shared" si="11"/>
        <v>11830</v>
      </c>
      <c r="J105" s="24">
        <f t="shared" si="11"/>
        <v>11830</v>
      </c>
      <c r="K105" s="24">
        <f t="shared" si="11"/>
        <v>11830</v>
      </c>
      <c r="L105" s="24">
        <f t="shared" si="11"/>
        <v>11830</v>
      </c>
    </row>
    <row r="106" spans="1:12" x14ac:dyDescent="0.15">
      <c r="B106" s="24"/>
      <c r="C106" s="24"/>
      <c r="D106" s="24"/>
      <c r="E106" s="24"/>
      <c r="F106" s="24"/>
      <c r="G106" s="24"/>
      <c r="H106" s="24"/>
      <c r="I106" s="24"/>
      <c r="J106" s="24"/>
      <c r="K106" s="24"/>
      <c r="L106" s="24"/>
    </row>
    <row r="107" spans="1:12" x14ac:dyDescent="0.15">
      <c r="A107" s="106" t="s">
        <v>1105</v>
      </c>
      <c r="B107" s="313"/>
      <c r="C107" s="24">
        <f t="shared" ref="C107:L107" si="12">$B91/10</f>
        <v>7800</v>
      </c>
      <c r="D107" s="24">
        <f t="shared" si="12"/>
        <v>7800</v>
      </c>
      <c r="E107" s="24">
        <f t="shared" si="12"/>
        <v>7800</v>
      </c>
      <c r="F107" s="24">
        <f t="shared" si="12"/>
        <v>7800</v>
      </c>
      <c r="G107" s="24">
        <f t="shared" si="12"/>
        <v>7800</v>
      </c>
      <c r="H107" s="24">
        <f t="shared" si="12"/>
        <v>7800</v>
      </c>
      <c r="I107" s="24">
        <f t="shared" si="12"/>
        <v>7800</v>
      </c>
      <c r="J107" s="24">
        <f t="shared" si="12"/>
        <v>7800</v>
      </c>
      <c r="K107" s="24">
        <f t="shared" si="12"/>
        <v>7800</v>
      </c>
      <c r="L107" s="24">
        <f t="shared" si="12"/>
        <v>7800</v>
      </c>
    </row>
    <row r="108" spans="1:12" x14ac:dyDescent="0.15">
      <c r="A108" s="106"/>
      <c r="B108" s="24"/>
      <c r="C108" s="24"/>
      <c r="D108" s="24"/>
      <c r="E108" s="24"/>
      <c r="F108" s="24"/>
      <c r="G108" s="24"/>
      <c r="H108" s="24"/>
      <c r="I108" s="24"/>
      <c r="J108" s="24"/>
      <c r="K108" s="24"/>
      <c r="L108" s="24"/>
    </row>
    <row r="109" spans="1:12" x14ac:dyDescent="0.15">
      <c r="A109" s="13" t="s">
        <v>1075</v>
      </c>
      <c r="B109" s="281">
        <f>SUMPRODUCT(B105:L105,POWER(1+B94,-B101:L101))</f>
        <v>-5309.7711395136248</v>
      </c>
      <c r="C109" s="314" t="s">
        <v>26</v>
      </c>
      <c r="D109" s="24"/>
      <c r="E109" s="24"/>
      <c r="F109" s="24"/>
      <c r="G109" s="24"/>
      <c r="H109" s="24"/>
      <c r="I109" s="24"/>
      <c r="J109" s="24"/>
      <c r="K109" s="24"/>
      <c r="L109" s="24"/>
    </row>
    <row r="110" spans="1:12" x14ac:dyDescent="0.15">
      <c r="A110" s="13"/>
      <c r="B110" s="281"/>
      <c r="C110" s="314"/>
      <c r="D110" s="24"/>
      <c r="E110" s="24"/>
      <c r="F110" s="24"/>
      <c r="G110" s="24"/>
      <c r="H110" s="24"/>
      <c r="I110" s="24"/>
      <c r="J110" s="24"/>
      <c r="K110" s="24"/>
      <c r="L110" s="24"/>
    </row>
    <row r="111" spans="1:12" x14ac:dyDescent="0.15">
      <c r="A111" s="9" t="s">
        <v>25</v>
      </c>
      <c r="B111" s="9">
        <v>7000</v>
      </c>
      <c r="C111" s="9">
        <v>8000</v>
      </c>
      <c r="D111" s="9">
        <v>9000</v>
      </c>
      <c r="E111" s="9">
        <v>10000</v>
      </c>
      <c r="F111" s="24"/>
      <c r="G111" s="24"/>
      <c r="H111" s="24"/>
      <c r="I111" s="24"/>
      <c r="J111" s="24"/>
      <c r="K111" s="24"/>
      <c r="L111" s="24"/>
    </row>
    <row r="112" spans="1:12" x14ac:dyDescent="0.15">
      <c r="A112" s="13" t="s">
        <v>1075</v>
      </c>
      <c r="B112" s="289">
        <v>-5309.7711395136248</v>
      </c>
      <c r="C112" s="315">
        <v>2678.1660979024491</v>
      </c>
      <c r="D112" s="289">
        <v>10666.103335318534</v>
      </c>
      <c r="E112" s="289">
        <v>18654.040572734626</v>
      </c>
      <c r="F112" s="24"/>
      <c r="G112" s="24"/>
      <c r="H112" s="24"/>
      <c r="I112" s="24"/>
      <c r="J112" s="24"/>
      <c r="K112" s="24"/>
      <c r="L112" s="24"/>
    </row>
    <row r="114" spans="1:32" ht="15" x14ac:dyDescent="0.15">
      <c r="A114" s="8" t="s">
        <v>1009</v>
      </c>
    </row>
    <row r="115" spans="1:32" x14ac:dyDescent="0.15">
      <c r="A115" s="9" t="s">
        <v>28</v>
      </c>
      <c r="B115" s="24">
        <v>8400</v>
      </c>
    </row>
    <row r="117" spans="1:32" x14ac:dyDescent="0.15">
      <c r="A117" s="293" t="s">
        <v>27</v>
      </c>
    </row>
    <row r="118" spans="1:32" x14ac:dyDescent="0.15">
      <c r="A118" s="9" t="s">
        <v>857</v>
      </c>
      <c r="B118" s="24">
        <v>1680</v>
      </c>
    </row>
    <row r="119" spans="1:32" x14ac:dyDescent="0.15">
      <c r="A119" s="9" t="s">
        <v>858</v>
      </c>
      <c r="B119" s="24">
        <v>770</v>
      </c>
    </row>
    <row r="120" spans="1:32" x14ac:dyDescent="0.15">
      <c r="A120" s="9" t="s">
        <v>29</v>
      </c>
      <c r="B120" s="24">
        <v>800</v>
      </c>
    </row>
    <row r="121" spans="1:32" x14ac:dyDescent="0.15">
      <c r="A121" s="293" t="s">
        <v>1273</v>
      </c>
      <c r="B121" s="24"/>
    </row>
    <row r="122" spans="1:32" x14ac:dyDescent="0.15">
      <c r="A122" s="9" t="s">
        <v>381</v>
      </c>
      <c r="B122" s="24">
        <v>670</v>
      </c>
    </row>
    <row r="123" spans="1:32" x14ac:dyDescent="0.15">
      <c r="A123" s="9" t="s">
        <v>178</v>
      </c>
      <c r="B123" s="24">
        <v>280</v>
      </c>
    </row>
    <row r="124" spans="1:32" x14ac:dyDescent="0.15">
      <c r="A124" s="9" t="s">
        <v>965</v>
      </c>
      <c r="B124" s="24">
        <v>1000</v>
      </c>
    </row>
    <row r="125" spans="1:32" x14ac:dyDescent="0.15">
      <c r="A125" s="293" t="s">
        <v>30</v>
      </c>
      <c r="B125" s="24">
        <f>SUM(B118:B120)-SUM(B122:B124)</f>
        <v>1300</v>
      </c>
    </row>
    <row r="127" spans="1:32" x14ac:dyDescent="0.15">
      <c r="A127" s="293" t="s">
        <v>1127</v>
      </c>
    </row>
    <row r="128" spans="1:32" x14ac:dyDescent="0.15">
      <c r="A128" s="250" t="s">
        <v>856</v>
      </c>
      <c r="B128" s="240">
        <v>0</v>
      </c>
      <c r="C128" s="29">
        <v>1</v>
      </c>
      <c r="D128" s="29">
        <f>C128+1</f>
        <v>2</v>
      </c>
      <c r="E128" s="29">
        <f t="shared" ref="E128:AF128" si="13">D128+1</f>
        <v>3</v>
      </c>
      <c r="F128" s="29">
        <f t="shared" si="13"/>
        <v>4</v>
      </c>
      <c r="G128" s="29">
        <f t="shared" si="13"/>
        <v>5</v>
      </c>
      <c r="H128" s="29">
        <f t="shared" si="13"/>
        <v>6</v>
      </c>
      <c r="I128" s="29">
        <f t="shared" si="13"/>
        <v>7</v>
      </c>
      <c r="J128" s="29">
        <f t="shared" si="13"/>
        <v>8</v>
      </c>
      <c r="K128" s="29">
        <f t="shared" si="13"/>
        <v>9</v>
      </c>
      <c r="L128" s="29">
        <f t="shared" si="13"/>
        <v>10</v>
      </c>
      <c r="M128" s="29">
        <f t="shared" si="13"/>
        <v>11</v>
      </c>
      <c r="N128" s="29">
        <f t="shared" si="13"/>
        <v>12</v>
      </c>
      <c r="O128" s="29">
        <f t="shared" si="13"/>
        <v>13</v>
      </c>
      <c r="P128" s="29">
        <f t="shared" si="13"/>
        <v>14</v>
      </c>
      <c r="Q128" s="29">
        <f t="shared" si="13"/>
        <v>15</v>
      </c>
      <c r="R128" s="29">
        <f t="shared" si="13"/>
        <v>16</v>
      </c>
      <c r="S128" s="29">
        <f t="shared" si="13"/>
        <v>17</v>
      </c>
      <c r="T128" s="29">
        <f t="shared" si="13"/>
        <v>18</v>
      </c>
      <c r="U128" s="29">
        <f t="shared" si="13"/>
        <v>19</v>
      </c>
      <c r="V128" s="29">
        <f t="shared" si="13"/>
        <v>20</v>
      </c>
      <c r="W128" s="29">
        <f t="shared" si="13"/>
        <v>21</v>
      </c>
      <c r="X128" s="29">
        <f t="shared" si="13"/>
        <v>22</v>
      </c>
      <c r="Y128" s="29">
        <f t="shared" si="13"/>
        <v>23</v>
      </c>
      <c r="Z128" s="29">
        <f t="shared" si="13"/>
        <v>24</v>
      </c>
      <c r="AA128" s="29">
        <f t="shared" si="13"/>
        <v>25</v>
      </c>
      <c r="AB128" s="29">
        <f t="shared" si="13"/>
        <v>26</v>
      </c>
      <c r="AC128" s="29">
        <f t="shared" si="13"/>
        <v>27</v>
      </c>
      <c r="AD128" s="29">
        <f t="shared" si="13"/>
        <v>28</v>
      </c>
      <c r="AE128" s="29">
        <f t="shared" si="13"/>
        <v>29</v>
      </c>
      <c r="AF128" s="29">
        <f t="shared" si="13"/>
        <v>30</v>
      </c>
    </row>
    <row r="129" spans="1:32" ht="15" x14ac:dyDescent="0.15">
      <c r="A129" s="316" t="str">
        <f>A115</f>
        <v>Capital expenditure</v>
      </c>
      <c r="B129" s="24">
        <f>-B115</f>
        <v>-8400</v>
      </c>
    </row>
    <row r="130" spans="1:32" ht="15" x14ac:dyDescent="0.15">
      <c r="A130" s="316" t="s">
        <v>251</v>
      </c>
      <c r="B130" s="24"/>
      <c r="C130" s="24">
        <f>$B125</f>
        <v>1300</v>
      </c>
      <c r="D130" s="24">
        <f t="shared" ref="D130:AF130" si="14">$B125</f>
        <v>1300</v>
      </c>
      <c r="E130" s="24">
        <f t="shared" si="14"/>
        <v>1300</v>
      </c>
      <c r="F130" s="24">
        <f t="shared" si="14"/>
        <v>1300</v>
      </c>
      <c r="G130" s="24">
        <f t="shared" si="14"/>
        <v>1300</v>
      </c>
      <c r="H130" s="24">
        <f t="shared" si="14"/>
        <v>1300</v>
      </c>
      <c r="I130" s="24">
        <f t="shared" si="14"/>
        <v>1300</v>
      </c>
      <c r="J130" s="24">
        <f t="shared" si="14"/>
        <v>1300</v>
      </c>
      <c r="K130" s="24">
        <f t="shared" si="14"/>
        <v>1300</v>
      </c>
      <c r="L130" s="24">
        <f t="shared" si="14"/>
        <v>1300</v>
      </c>
      <c r="M130" s="24">
        <f t="shared" si="14"/>
        <v>1300</v>
      </c>
      <c r="N130" s="24">
        <f t="shared" si="14"/>
        <v>1300</v>
      </c>
      <c r="O130" s="24">
        <f t="shared" si="14"/>
        <v>1300</v>
      </c>
      <c r="P130" s="24">
        <f t="shared" si="14"/>
        <v>1300</v>
      </c>
      <c r="Q130" s="24">
        <f t="shared" si="14"/>
        <v>1300</v>
      </c>
      <c r="R130" s="24">
        <f t="shared" si="14"/>
        <v>1300</v>
      </c>
      <c r="S130" s="24">
        <f t="shared" si="14"/>
        <v>1300</v>
      </c>
      <c r="T130" s="24">
        <f t="shared" si="14"/>
        <v>1300</v>
      </c>
      <c r="U130" s="24">
        <f t="shared" si="14"/>
        <v>1300</v>
      </c>
      <c r="V130" s="24">
        <f t="shared" si="14"/>
        <v>1300</v>
      </c>
      <c r="W130" s="24">
        <f t="shared" si="14"/>
        <v>1300</v>
      </c>
      <c r="X130" s="24">
        <f t="shared" si="14"/>
        <v>1300</v>
      </c>
      <c r="Y130" s="24">
        <f t="shared" si="14"/>
        <v>1300</v>
      </c>
      <c r="Z130" s="24">
        <f t="shared" si="14"/>
        <v>1300</v>
      </c>
      <c r="AA130" s="24">
        <f t="shared" si="14"/>
        <v>1300</v>
      </c>
      <c r="AB130" s="24">
        <f t="shared" si="14"/>
        <v>1300</v>
      </c>
      <c r="AC130" s="24">
        <f t="shared" si="14"/>
        <v>1300</v>
      </c>
      <c r="AD130" s="24">
        <f t="shared" si="14"/>
        <v>1300</v>
      </c>
      <c r="AE130" s="24">
        <f t="shared" si="14"/>
        <v>1300</v>
      </c>
      <c r="AF130" s="24">
        <f t="shared" si="14"/>
        <v>1300</v>
      </c>
    </row>
    <row r="131" spans="1:32" ht="15" x14ac:dyDescent="0.15">
      <c r="A131" s="308" t="s">
        <v>1105</v>
      </c>
      <c r="B131" s="312"/>
      <c r="C131" s="312">
        <f>$B123</f>
        <v>280</v>
      </c>
      <c r="D131" s="312">
        <f t="shared" ref="D131:AF131" si="15">$B123</f>
        <v>280</v>
      </c>
      <c r="E131" s="312">
        <f t="shared" si="15"/>
        <v>280</v>
      </c>
      <c r="F131" s="312">
        <f t="shared" si="15"/>
        <v>280</v>
      </c>
      <c r="G131" s="312">
        <f t="shared" si="15"/>
        <v>280</v>
      </c>
      <c r="H131" s="312">
        <f t="shared" si="15"/>
        <v>280</v>
      </c>
      <c r="I131" s="312">
        <f t="shared" si="15"/>
        <v>280</v>
      </c>
      <c r="J131" s="312">
        <f t="shared" si="15"/>
        <v>280</v>
      </c>
      <c r="K131" s="312">
        <f t="shared" si="15"/>
        <v>280</v>
      </c>
      <c r="L131" s="312">
        <f t="shared" si="15"/>
        <v>280</v>
      </c>
      <c r="M131" s="312">
        <f t="shared" si="15"/>
        <v>280</v>
      </c>
      <c r="N131" s="312">
        <f t="shared" si="15"/>
        <v>280</v>
      </c>
      <c r="O131" s="312">
        <f t="shared" si="15"/>
        <v>280</v>
      </c>
      <c r="P131" s="312">
        <f t="shared" si="15"/>
        <v>280</v>
      </c>
      <c r="Q131" s="312">
        <f t="shared" si="15"/>
        <v>280</v>
      </c>
      <c r="R131" s="312">
        <f t="shared" si="15"/>
        <v>280</v>
      </c>
      <c r="S131" s="312">
        <f t="shared" si="15"/>
        <v>280</v>
      </c>
      <c r="T131" s="312">
        <f t="shared" si="15"/>
        <v>280</v>
      </c>
      <c r="U131" s="312">
        <f t="shared" si="15"/>
        <v>280</v>
      </c>
      <c r="V131" s="312">
        <f t="shared" si="15"/>
        <v>280</v>
      </c>
      <c r="W131" s="312">
        <f t="shared" si="15"/>
        <v>280</v>
      </c>
      <c r="X131" s="312">
        <f t="shared" si="15"/>
        <v>280</v>
      </c>
      <c r="Y131" s="312">
        <f t="shared" si="15"/>
        <v>280</v>
      </c>
      <c r="Z131" s="312">
        <f t="shared" si="15"/>
        <v>280</v>
      </c>
      <c r="AA131" s="312">
        <f t="shared" si="15"/>
        <v>280</v>
      </c>
      <c r="AB131" s="312">
        <f t="shared" si="15"/>
        <v>280</v>
      </c>
      <c r="AC131" s="312">
        <f t="shared" si="15"/>
        <v>280</v>
      </c>
      <c r="AD131" s="312">
        <f t="shared" si="15"/>
        <v>280</v>
      </c>
      <c r="AE131" s="312">
        <f t="shared" si="15"/>
        <v>280</v>
      </c>
      <c r="AF131" s="312">
        <f t="shared" si="15"/>
        <v>280</v>
      </c>
    </row>
    <row r="132" spans="1:32" x14ac:dyDescent="0.15">
      <c r="A132" s="251" t="s">
        <v>1104</v>
      </c>
      <c r="B132" s="24">
        <f t="shared" ref="B132:AF132" si="16">SUM(B129:B131)</f>
        <v>-8400</v>
      </c>
      <c r="C132" s="24">
        <f t="shared" si="16"/>
        <v>1580</v>
      </c>
      <c r="D132" s="24">
        <f t="shared" si="16"/>
        <v>1580</v>
      </c>
      <c r="E132" s="24">
        <f t="shared" si="16"/>
        <v>1580</v>
      </c>
      <c r="F132" s="24">
        <f t="shared" si="16"/>
        <v>1580</v>
      </c>
      <c r="G132" s="24">
        <f t="shared" si="16"/>
        <v>1580</v>
      </c>
      <c r="H132" s="24">
        <f t="shared" si="16"/>
        <v>1580</v>
      </c>
      <c r="I132" s="24">
        <f t="shared" si="16"/>
        <v>1580</v>
      </c>
      <c r="J132" s="24">
        <f t="shared" si="16"/>
        <v>1580</v>
      </c>
      <c r="K132" s="24">
        <f t="shared" si="16"/>
        <v>1580</v>
      </c>
      <c r="L132" s="24">
        <f t="shared" si="16"/>
        <v>1580</v>
      </c>
      <c r="M132" s="24">
        <f t="shared" si="16"/>
        <v>1580</v>
      </c>
      <c r="N132" s="24">
        <f t="shared" si="16"/>
        <v>1580</v>
      </c>
      <c r="O132" s="24">
        <f t="shared" si="16"/>
        <v>1580</v>
      </c>
      <c r="P132" s="24">
        <f t="shared" si="16"/>
        <v>1580</v>
      </c>
      <c r="Q132" s="24">
        <f t="shared" si="16"/>
        <v>1580</v>
      </c>
      <c r="R132" s="24">
        <f t="shared" si="16"/>
        <v>1580</v>
      </c>
      <c r="S132" s="24">
        <f t="shared" si="16"/>
        <v>1580</v>
      </c>
      <c r="T132" s="24">
        <f t="shared" si="16"/>
        <v>1580</v>
      </c>
      <c r="U132" s="24">
        <f t="shared" si="16"/>
        <v>1580</v>
      </c>
      <c r="V132" s="24">
        <f t="shared" si="16"/>
        <v>1580</v>
      </c>
      <c r="W132" s="24">
        <f t="shared" si="16"/>
        <v>1580</v>
      </c>
      <c r="X132" s="24">
        <f t="shared" si="16"/>
        <v>1580</v>
      </c>
      <c r="Y132" s="24">
        <f t="shared" si="16"/>
        <v>1580</v>
      </c>
      <c r="Z132" s="24">
        <f t="shared" si="16"/>
        <v>1580</v>
      </c>
      <c r="AA132" s="24">
        <f t="shared" si="16"/>
        <v>1580</v>
      </c>
      <c r="AB132" s="24">
        <f t="shared" si="16"/>
        <v>1580</v>
      </c>
      <c r="AC132" s="24">
        <f t="shared" si="16"/>
        <v>1580</v>
      </c>
      <c r="AD132" s="24">
        <f t="shared" si="16"/>
        <v>1580</v>
      </c>
      <c r="AE132" s="24">
        <f t="shared" si="16"/>
        <v>1580</v>
      </c>
      <c r="AF132" s="24">
        <f t="shared" si="16"/>
        <v>1580</v>
      </c>
    </row>
    <row r="134" spans="1:32" x14ac:dyDescent="0.15">
      <c r="A134" s="293" t="s">
        <v>33</v>
      </c>
    </row>
    <row r="135" spans="1:32" x14ac:dyDescent="0.15">
      <c r="A135" s="9" t="s">
        <v>251</v>
      </c>
      <c r="C135" s="24">
        <f>$B125</f>
        <v>1300</v>
      </c>
      <c r="D135" s="24">
        <f t="shared" ref="D135:AF135" si="17">$B125</f>
        <v>1300</v>
      </c>
      <c r="E135" s="24">
        <f t="shared" si="17"/>
        <v>1300</v>
      </c>
      <c r="F135" s="24">
        <f t="shared" si="17"/>
        <v>1300</v>
      </c>
      <c r="G135" s="24">
        <f t="shared" si="17"/>
        <v>1300</v>
      </c>
      <c r="H135" s="24">
        <f t="shared" si="17"/>
        <v>1300</v>
      </c>
      <c r="I135" s="24">
        <f t="shared" si="17"/>
        <v>1300</v>
      </c>
      <c r="J135" s="24">
        <f t="shared" si="17"/>
        <v>1300</v>
      </c>
      <c r="K135" s="24">
        <f t="shared" si="17"/>
        <v>1300</v>
      </c>
      <c r="L135" s="24">
        <f t="shared" si="17"/>
        <v>1300</v>
      </c>
      <c r="M135" s="24">
        <f t="shared" si="17"/>
        <v>1300</v>
      </c>
      <c r="N135" s="24">
        <f t="shared" si="17"/>
        <v>1300</v>
      </c>
      <c r="O135" s="24">
        <f t="shared" si="17"/>
        <v>1300</v>
      </c>
      <c r="P135" s="24">
        <f t="shared" si="17"/>
        <v>1300</v>
      </c>
      <c r="Q135" s="24">
        <f t="shared" si="17"/>
        <v>1300</v>
      </c>
      <c r="R135" s="24">
        <f t="shared" si="17"/>
        <v>1300</v>
      </c>
      <c r="S135" s="24">
        <f t="shared" si="17"/>
        <v>1300</v>
      </c>
      <c r="T135" s="24">
        <f t="shared" si="17"/>
        <v>1300</v>
      </c>
      <c r="U135" s="24">
        <f t="shared" si="17"/>
        <v>1300</v>
      </c>
      <c r="V135" s="24">
        <f t="shared" si="17"/>
        <v>1300</v>
      </c>
      <c r="W135" s="24">
        <f t="shared" si="17"/>
        <v>1300</v>
      </c>
      <c r="X135" s="24">
        <f t="shared" si="17"/>
        <v>1300</v>
      </c>
      <c r="Y135" s="24">
        <f t="shared" si="17"/>
        <v>1300</v>
      </c>
      <c r="Z135" s="24">
        <f t="shared" si="17"/>
        <v>1300</v>
      </c>
      <c r="AA135" s="24">
        <f t="shared" si="17"/>
        <v>1300</v>
      </c>
      <c r="AB135" s="24">
        <f t="shared" si="17"/>
        <v>1300</v>
      </c>
      <c r="AC135" s="24">
        <f t="shared" si="17"/>
        <v>1300</v>
      </c>
      <c r="AD135" s="24">
        <f t="shared" si="17"/>
        <v>1300</v>
      </c>
      <c r="AE135" s="24">
        <f t="shared" si="17"/>
        <v>1300</v>
      </c>
      <c r="AF135" s="24">
        <f t="shared" si="17"/>
        <v>1300</v>
      </c>
    </row>
    <row r="136" spans="1:32" x14ac:dyDescent="0.15">
      <c r="A136" s="9" t="s">
        <v>31</v>
      </c>
      <c r="C136" s="24">
        <f>$B115-(C128-1)*$B123</f>
        <v>8400</v>
      </c>
      <c r="D136" s="24">
        <f>$B115-(D128-1)*$B123</f>
        <v>8120</v>
      </c>
      <c r="E136" s="24">
        <f t="shared" ref="E136:AF136" si="18">$B115-(E128-1)*$B123</f>
        <v>7840</v>
      </c>
      <c r="F136" s="24">
        <f t="shared" si="18"/>
        <v>7560</v>
      </c>
      <c r="G136" s="24">
        <f t="shared" si="18"/>
        <v>7280</v>
      </c>
      <c r="H136" s="24">
        <f t="shared" si="18"/>
        <v>7000</v>
      </c>
      <c r="I136" s="24">
        <f t="shared" si="18"/>
        <v>6720</v>
      </c>
      <c r="J136" s="24">
        <f t="shared" si="18"/>
        <v>6440</v>
      </c>
      <c r="K136" s="24">
        <f t="shared" si="18"/>
        <v>6160</v>
      </c>
      <c r="L136" s="24">
        <f t="shared" si="18"/>
        <v>5880</v>
      </c>
      <c r="M136" s="24">
        <f t="shared" si="18"/>
        <v>5600</v>
      </c>
      <c r="N136" s="24">
        <f t="shared" si="18"/>
        <v>5320</v>
      </c>
      <c r="O136" s="24">
        <f t="shared" si="18"/>
        <v>5040</v>
      </c>
      <c r="P136" s="24">
        <f t="shared" si="18"/>
        <v>4760</v>
      </c>
      <c r="Q136" s="24">
        <f t="shared" si="18"/>
        <v>4480</v>
      </c>
      <c r="R136" s="24">
        <f t="shared" si="18"/>
        <v>4200</v>
      </c>
      <c r="S136" s="24">
        <f t="shared" si="18"/>
        <v>3920</v>
      </c>
      <c r="T136" s="24">
        <f t="shared" si="18"/>
        <v>3640</v>
      </c>
      <c r="U136" s="24">
        <f t="shared" si="18"/>
        <v>3360</v>
      </c>
      <c r="V136" s="24">
        <f t="shared" si="18"/>
        <v>3080</v>
      </c>
      <c r="W136" s="24">
        <f t="shared" si="18"/>
        <v>2800</v>
      </c>
      <c r="X136" s="24">
        <f t="shared" si="18"/>
        <v>2520</v>
      </c>
      <c r="Y136" s="24">
        <f t="shared" si="18"/>
        <v>2240</v>
      </c>
      <c r="Z136" s="24">
        <f t="shared" si="18"/>
        <v>1960</v>
      </c>
      <c r="AA136" s="24">
        <f t="shared" si="18"/>
        <v>1680</v>
      </c>
      <c r="AB136" s="24">
        <f t="shared" si="18"/>
        <v>1400</v>
      </c>
      <c r="AC136" s="24">
        <f t="shared" si="18"/>
        <v>1120</v>
      </c>
      <c r="AD136" s="24">
        <f t="shared" si="18"/>
        <v>840</v>
      </c>
      <c r="AE136" s="24">
        <f t="shared" si="18"/>
        <v>560</v>
      </c>
      <c r="AF136" s="24">
        <f t="shared" si="18"/>
        <v>280</v>
      </c>
    </row>
    <row r="137" spans="1:32" x14ac:dyDescent="0.15">
      <c r="A137" s="9" t="s">
        <v>34</v>
      </c>
      <c r="C137" s="24">
        <v>0</v>
      </c>
      <c r="D137" s="24">
        <f>C137</f>
        <v>0</v>
      </c>
      <c r="E137" s="24">
        <f t="shared" ref="E137:AF137" si="19">D137</f>
        <v>0</v>
      </c>
      <c r="F137" s="24">
        <f t="shared" si="19"/>
        <v>0</v>
      </c>
      <c r="G137" s="24">
        <f t="shared" si="19"/>
        <v>0</v>
      </c>
      <c r="H137" s="24">
        <f t="shared" si="19"/>
        <v>0</v>
      </c>
      <c r="I137" s="24">
        <f t="shared" si="19"/>
        <v>0</v>
      </c>
      <c r="J137" s="24">
        <f t="shared" si="19"/>
        <v>0</v>
      </c>
      <c r="K137" s="24">
        <f t="shared" si="19"/>
        <v>0</v>
      </c>
      <c r="L137" s="24">
        <f t="shared" si="19"/>
        <v>0</v>
      </c>
      <c r="M137" s="24">
        <f t="shared" si="19"/>
        <v>0</v>
      </c>
      <c r="N137" s="24">
        <f t="shared" si="19"/>
        <v>0</v>
      </c>
      <c r="O137" s="24">
        <f t="shared" si="19"/>
        <v>0</v>
      </c>
      <c r="P137" s="24">
        <f t="shared" si="19"/>
        <v>0</v>
      </c>
      <c r="Q137" s="24">
        <f t="shared" si="19"/>
        <v>0</v>
      </c>
      <c r="R137" s="24">
        <f t="shared" si="19"/>
        <v>0</v>
      </c>
      <c r="S137" s="24">
        <f t="shared" si="19"/>
        <v>0</v>
      </c>
      <c r="T137" s="24">
        <f t="shared" si="19"/>
        <v>0</v>
      </c>
      <c r="U137" s="24">
        <f t="shared" si="19"/>
        <v>0</v>
      </c>
      <c r="V137" s="24">
        <f t="shared" si="19"/>
        <v>0</v>
      </c>
      <c r="W137" s="24">
        <f t="shared" si="19"/>
        <v>0</v>
      </c>
      <c r="X137" s="24">
        <f t="shared" si="19"/>
        <v>0</v>
      </c>
      <c r="Y137" s="24">
        <f t="shared" si="19"/>
        <v>0</v>
      </c>
      <c r="Z137" s="24">
        <f t="shared" si="19"/>
        <v>0</v>
      </c>
      <c r="AA137" s="24">
        <f t="shared" si="19"/>
        <v>0</v>
      </c>
      <c r="AB137" s="24">
        <f t="shared" si="19"/>
        <v>0</v>
      </c>
      <c r="AC137" s="24">
        <f t="shared" si="19"/>
        <v>0</v>
      </c>
      <c r="AD137" s="24">
        <f t="shared" si="19"/>
        <v>0</v>
      </c>
      <c r="AE137" s="24">
        <f t="shared" si="19"/>
        <v>0</v>
      </c>
      <c r="AF137" s="24">
        <f t="shared" si="19"/>
        <v>0</v>
      </c>
    </row>
    <row r="138" spans="1:32" x14ac:dyDescent="0.15">
      <c r="A138" s="9" t="s">
        <v>32</v>
      </c>
      <c r="B138" s="9">
        <v>0</v>
      </c>
      <c r="C138" s="123">
        <f>C135/(C136+C137)</f>
        <v>0.15476190476190477</v>
      </c>
      <c r="D138" s="123">
        <f t="shared" ref="D138:AF138" si="20">D135/(D136+D137)</f>
        <v>0.16009852216748768</v>
      </c>
      <c r="E138" s="123">
        <f t="shared" si="20"/>
        <v>0.16581632653061223</v>
      </c>
      <c r="F138" s="123">
        <f t="shared" si="20"/>
        <v>0.17195767195767195</v>
      </c>
      <c r="G138" s="123">
        <f t="shared" si="20"/>
        <v>0.17857142857142858</v>
      </c>
      <c r="H138" s="123">
        <f t="shared" si="20"/>
        <v>0.18571428571428572</v>
      </c>
      <c r="I138" s="123">
        <f t="shared" si="20"/>
        <v>0.19345238095238096</v>
      </c>
      <c r="J138" s="123">
        <f t="shared" si="20"/>
        <v>0.20186335403726707</v>
      </c>
      <c r="K138" s="123">
        <f t="shared" si="20"/>
        <v>0.21103896103896103</v>
      </c>
      <c r="L138" s="123">
        <f t="shared" si="20"/>
        <v>0.22108843537414966</v>
      </c>
      <c r="M138" s="123">
        <f t="shared" si="20"/>
        <v>0.23214285714285715</v>
      </c>
      <c r="N138" s="123">
        <f t="shared" si="20"/>
        <v>0.24436090225563908</v>
      </c>
      <c r="O138" s="123">
        <f t="shared" si="20"/>
        <v>0.25793650793650796</v>
      </c>
      <c r="P138" s="123">
        <f t="shared" si="20"/>
        <v>0.27310924369747897</v>
      </c>
      <c r="Q138" s="123">
        <f t="shared" si="20"/>
        <v>0.29017857142857145</v>
      </c>
      <c r="R138" s="123">
        <f t="shared" si="20"/>
        <v>0.30952380952380953</v>
      </c>
      <c r="S138" s="123">
        <f t="shared" si="20"/>
        <v>0.33163265306122447</v>
      </c>
      <c r="T138" s="123">
        <f t="shared" si="20"/>
        <v>0.35714285714285715</v>
      </c>
      <c r="U138" s="123">
        <f t="shared" si="20"/>
        <v>0.38690476190476192</v>
      </c>
      <c r="V138" s="123">
        <f t="shared" si="20"/>
        <v>0.42207792207792205</v>
      </c>
      <c r="W138" s="123">
        <f t="shared" si="20"/>
        <v>0.4642857142857143</v>
      </c>
      <c r="X138" s="123">
        <f t="shared" si="20"/>
        <v>0.51587301587301593</v>
      </c>
      <c r="Y138" s="123">
        <f t="shared" si="20"/>
        <v>0.5803571428571429</v>
      </c>
      <c r="Z138" s="123">
        <f t="shared" si="20"/>
        <v>0.66326530612244894</v>
      </c>
      <c r="AA138" s="123">
        <f t="shared" si="20"/>
        <v>0.77380952380952384</v>
      </c>
      <c r="AB138" s="123">
        <f t="shared" si="20"/>
        <v>0.9285714285714286</v>
      </c>
      <c r="AC138" s="123">
        <f t="shared" si="20"/>
        <v>1.1607142857142858</v>
      </c>
      <c r="AD138" s="123">
        <f t="shared" si="20"/>
        <v>1.5476190476190477</v>
      </c>
      <c r="AE138" s="123">
        <f t="shared" si="20"/>
        <v>2.3214285714285716</v>
      </c>
      <c r="AF138" s="123">
        <f t="shared" si="20"/>
        <v>4.6428571428571432</v>
      </c>
    </row>
    <row r="139" spans="1:32" x14ac:dyDescent="0.15">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row>
    <row r="140" spans="1:32" x14ac:dyDescent="0.15">
      <c r="A140" s="13"/>
      <c r="B140" s="302"/>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row>
    <row r="141" spans="1:32" x14ac:dyDescent="0.15">
      <c r="A141" s="58" t="s">
        <v>512</v>
      </c>
      <c r="B141" s="302">
        <f>AVERAGE(B138:AF138)</f>
        <v>0.598327565690842</v>
      </c>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row>
    <row r="143" spans="1:32" x14ac:dyDescent="0.15">
      <c r="A143" s="293" t="s">
        <v>509</v>
      </c>
    </row>
    <row r="144" spans="1:32" x14ac:dyDescent="0.15">
      <c r="A144" s="9" t="s">
        <v>1028</v>
      </c>
      <c r="B144" s="104">
        <v>0.1</v>
      </c>
    </row>
    <row r="145" spans="1:32" ht="15" x14ac:dyDescent="0.15">
      <c r="A145" s="300" t="s">
        <v>1124</v>
      </c>
      <c r="B145" s="24">
        <f>SUMPRODUCT($B132:B132,POWER(1+$B144,-$B128:B128))</f>
        <v>-8400</v>
      </c>
      <c r="C145" s="24">
        <f>SUMPRODUCT($B132:C132,POWER(1+$B144,-$B128:C128))</f>
        <v>-6963.636363636364</v>
      </c>
      <c r="D145" s="24">
        <f>SUMPRODUCT($B132:D132,POWER(1+$B144,-$B128:D128))</f>
        <v>-5657.8512396694223</v>
      </c>
      <c r="E145" s="24">
        <f>SUMPRODUCT($B132:E132,POWER(1+$B144,-$B128:E128))</f>
        <v>-4470.7738542449297</v>
      </c>
      <c r="F145" s="24">
        <f>SUMPRODUCT($B132:F132,POWER(1+$B144,-$B128:F128))</f>
        <v>-3391.6125947681185</v>
      </c>
      <c r="G145" s="24">
        <f>SUMPRODUCT($B132:G132,POWER(1+$B144,-$B128:G128))</f>
        <v>-2410.5569043346536</v>
      </c>
      <c r="H145" s="24">
        <f>SUMPRODUCT($B132:H132,POWER(1+$B144,-$B128:H128))</f>
        <v>-1518.6880948496855</v>
      </c>
      <c r="I145" s="24">
        <f>SUMPRODUCT($B132:I132,POWER(1+$B144,-$B128:I128))</f>
        <v>-707.89826804516929</v>
      </c>
      <c r="J145" s="24">
        <f>SUMPRODUCT($B132:J132,POWER(1+$B144,-$B128:J128))</f>
        <v>29.183392686209118</v>
      </c>
      <c r="K145" s="24">
        <f>SUMPRODUCT($B132:K132,POWER(1+$B144,-$B128:K128))</f>
        <v>699.25762971473489</v>
      </c>
      <c r="L145" s="24">
        <f>SUMPRODUCT($B132:L132,POWER(1+$B144,-$B128:L128))</f>
        <v>1308.4160270133946</v>
      </c>
      <c r="M145" s="24">
        <f>SUMPRODUCT($B132:M132,POWER(1+$B144,-$B128:M128))</f>
        <v>1862.1963881939942</v>
      </c>
      <c r="N145" s="24">
        <f>SUMPRODUCT($B132:N132,POWER(1+$B144,-$B128:N128))</f>
        <v>2365.6330801763575</v>
      </c>
      <c r="O145" s="24">
        <f>SUMPRODUCT($B132:O132,POWER(1+$B144,-$B128:O128))</f>
        <v>2823.3028001603243</v>
      </c>
      <c r="P145" s="24">
        <f>SUMPRODUCT($B132:P132,POWER(1+$B144,-$B128:P128))</f>
        <v>3239.3661819639301</v>
      </c>
      <c r="Q145" s="24">
        <f>SUMPRODUCT($B132:Q132,POWER(1+$B144,-$B128:Q128))</f>
        <v>3617.6056199672084</v>
      </c>
      <c r="R145" s="24">
        <f>SUMPRODUCT($B132:R132,POWER(1+$B144,-$B128:R128))</f>
        <v>3961.4596545156433</v>
      </c>
      <c r="S145" s="24">
        <f>SUMPRODUCT($B132:S132,POWER(1+$B144,-$B128:S128))</f>
        <v>4274.0542313778569</v>
      </c>
      <c r="T145" s="24">
        <f>SUMPRODUCT($B132:T132,POWER(1+$B144,-$B128:T128))</f>
        <v>4558.2311194344147</v>
      </c>
      <c r="U145" s="24">
        <f>SUMPRODUCT($B132:U132,POWER(1+$B144,-$B128:U128))</f>
        <v>4816.5737449403759</v>
      </c>
      <c r="V145" s="24">
        <f>SUMPRODUCT($B132:V132,POWER(1+$B144,-$B128:V128))</f>
        <v>5051.4306772185228</v>
      </c>
      <c r="W145" s="24">
        <f>SUMPRODUCT($B132:W132,POWER(1+$B144,-$B128:W128))</f>
        <v>5264.936979289565</v>
      </c>
      <c r="X145" s="24">
        <f>SUMPRODUCT($B132:X132,POWER(1+$B144,-$B128:X128))</f>
        <v>5459.0336175359671</v>
      </c>
      <c r="Y145" s="24">
        <f>SUMPRODUCT($B132:Y132,POWER(1+$B144,-$B128:Y128))</f>
        <v>5635.4851068508779</v>
      </c>
      <c r="Z145" s="24">
        <f>SUMPRODUCT($B132:Z132,POWER(1+$B144,-$B128:Z128))</f>
        <v>5795.8955516826154</v>
      </c>
      <c r="AA145" s="24">
        <f>SUMPRODUCT($B132:AA132,POWER(1+$B144,-$B128:AA128))</f>
        <v>5941.723228802377</v>
      </c>
      <c r="AB145" s="24">
        <f>SUMPRODUCT($B132:AB132,POWER(1+$B144,-$B128:AB128))</f>
        <v>6074.2938443657958</v>
      </c>
      <c r="AC145" s="24">
        <f>SUMPRODUCT($B132:AC132,POWER(1+$B144,-$B128:AC128))</f>
        <v>6194.8125857870864</v>
      </c>
      <c r="AD145" s="24">
        <f>SUMPRODUCT($B132:AD132,POWER(1+$B144,-$B128:AD128))</f>
        <v>6304.3750779882594</v>
      </c>
      <c r="AE145" s="24">
        <f>SUMPRODUCT($B132:AE132,POWER(1+$B144,-$B128:AE128))</f>
        <v>6403.9773436256892</v>
      </c>
      <c r="AF145" s="24">
        <f>SUMPRODUCT($B132:AF132,POWER(1+$B144,-$B128:AF128))</f>
        <v>6494.5248578415349</v>
      </c>
    </row>
    <row r="146" spans="1:32" x14ac:dyDescent="0.15">
      <c r="B146" s="24"/>
    </row>
    <row r="148" spans="1:32" x14ac:dyDescent="0.15">
      <c r="A148" s="13" t="s">
        <v>510</v>
      </c>
      <c r="B148" s="16">
        <f>J128-J145/(K145-J145)</f>
        <v>7.9564475231645613</v>
      </c>
    </row>
    <row r="149" spans="1:32" x14ac:dyDescent="0.15">
      <c r="A149" s="13" t="s">
        <v>511</v>
      </c>
      <c r="B149" s="24">
        <f>AF145</f>
        <v>6494.5248578415349</v>
      </c>
    </row>
    <row r="151" spans="1:32" x14ac:dyDescent="0.15">
      <c r="A151" s="293" t="s">
        <v>1274</v>
      </c>
    </row>
    <row r="152" spans="1:32" x14ac:dyDescent="0.15">
      <c r="A152" s="13" t="s">
        <v>1123</v>
      </c>
      <c r="B152" s="164">
        <v>0.187</v>
      </c>
    </row>
    <row r="153" spans="1:32" ht="15" x14ac:dyDescent="0.15">
      <c r="A153" s="300" t="s">
        <v>1075</v>
      </c>
      <c r="B153" s="24">
        <f>NPV(B152,C132:AF132)+B132</f>
        <v>-0.15290660582286364</v>
      </c>
    </row>
    <row r="154" spans="1:32" x14ac:dyDescent="0.15">
      <c r="A154" s="301"/>
      <c r="B154" s="281"/>
    </row>
    <row r="155" spans="1:32" ht="15" x14ac:dyDescent="0.15">
      <c r="A155" s="8" t="s">
        <v>1010</v>
      </c>
    </row>
    <row r="156" spans="1:32" ht="15" x14ac:dyDescent="0.15">
      <c r="A156" s="12" t="s">
        <v>514</v>
      </c>
      <c r="B156" s="43">
        <v>8000</v>
      </c>
    </row>
    <row r="157" spans="1:32" ht="15" x14ac:dyDescent="0.15">
      <c r="A157" s="12" t="s">
        <v>515</v>
      </c>
      <c r="B157" s="9">
        <v>7</v>
      </c>
    </row>
    <row r="158" spans="1:32" ht="15" x14ac:dyDescent="0.15">
      <c r="A158" s="12" t="s">
        <v>516</v>
      </c>
      <c r="B158" s="9">
        <v>8</v>
      </c>
    </row>
    <row r="159" spans="1:32" ht="15" x14ac:dyDescent="0.15">
      <c r="A159" s="12" t="s">
        <v>1121</v>
      </c>
      <c r="B159" s="43">
        <f>(B156*B157/B158)-B181</f>
        <v>2000</v>
      </c>
    </row>
    <row r="160" spans="1:32" ht="15" x14ac:dyDescent="0.15">
      <c r="A160" s="12" t="s">
        <v>517</v>
      </c>
      <c r="B160" s="104">
        <v>0.4</v>
      </c>
    </row>
    <row r="161" spans="1:3" ht="15" x14ac:dyDescent="0.15">
      <c r="A161" s="12" t="s">
        <v>518</v>
      </c>
      <c r="B161" s="43">
        <f>B159*B160</f>
        <v>800</v>
      </c>
    </row>
    <row r="162" spans="1:3" x14ac:dyDescent="0.15">
      <c r="A162" s="12"/>
    </row>
    <row r="163" spans="1:3" ht="15" x14ac:dyDescent="0.15">
      <c r="A163" s="12" t="s">
        <v>519</v>
      </c>
      <c r="B163" s="43">
        <v>10500</v>
      </c>
    </row>
    <row r="164" spans="1:3" ht="15" x14ac:dyDescent="0.15">
      <c r="A164" s="12" t="s">
        <v>1013</v>
      </c>
      <c r="B164" s="9">
        <v>7</v>
      </c>
    </row>
    <row r="165" spans="1:3" ht="15" x14ac:dyDescent="0.15">
      <c r="A165" s="12" t="s">
        <v>520</v>
      </c>
      <c r="B165" s="24">
        <v>500</v>
      </c>
    </row>
    <row r="166" spans="1:3" x14ac:dyDescent="0.15">
      <c r="A166" s="12"/>
    </row>
    <row r="167" spans="1:3" ht="15" x14ac:dyDescent="0.15">
      <c r="A167" s="12" t="s">
        <v>521</v>
      </c>
      <c r="B167" s="43">
        <v>100000</v>
      </c>
      <c r="C167" s="9" t="s">
        <v>522</v>
      </c>
    </row>
    <row r="168" spans="1:3" ht="15" x14ac:dyDescent="0.15">
      <c r="A168" s="12" t="s">
        <v>523</v>
      </c>
      <c r="B168" s="24">
        <f>SUM(B169:B171)</f>
        <v>0.38</v>
      </c>
    </row>
    <row r="169" spans="1:3" x14ac:dyDescent="0.15">
      <c r="A169" s="317" t="s">
        <v>525</v>
      </c>
      <c r="B169" s="318">
        <v>0.14000000000000001</v>
      </c>
    </row>
    <row r="170" spans="1:3" x14ac:dyDescent="0.15">
      <c r="A170" s="317" t="s">
        <v>526</v>
      </c>
      <c r="B170" s="318">
        <v>0.1</v>
      </c>
    </row>
    <row r="171" spans="1:3" x14ac:dyDescent="0.15">
      <c r="A171" s="317" t="s">
        <v>527</v>
      </c>
      <c r="B171" s="318">
        <v>0.14000000000000001</v>
      </c>
    </row>
    <row r="172" spans="1:3" ht="15" x14ac:dyDescent="0.15">
      <c r="A172" s="12" t="s">
        <v>524</v>
      </c>
      <c r="B172" s="24">
        <f>SUM(B173:B175)</f>
        <v>0.35</v>
      </c>
    </row>
    <row r="173" spans="1:3" x14ac:dyDescent="0.15">
      <c r="A173" s="317" t="s">
        <v>525</v>
      </c>
      <c r="B173" s="318">
        <v>0.12</v>
      </c>
    </row>
    <row r="174" spans="1:3" x14ac:dyDescent="0.15">
      <c r="A174" s="317" t="s">
        <v>526</v>
      </c>
      <c r="B174" s="318">
        <v>0.09</v>
      </c>
    </row>
    <row r="175" spans="1:3" x14ac:dyDescent="0.15">
      <c r="A175" s="317" t="s">
        <v>527</v>
      </c>
      <c r="B175" s="318">
        <f>B171</f>
        <v>0.14000000000000001</v>
      </c>
    </row>
    <row r="177" spans="1:10" x14ac:dyDescent="0.15">
      <c r="A177" s="293" t="s">
        <v>513</v>
      </c>
    </row>
    <row r="178" spans="1:10" ht="15" x14ac:dyDescent="0.15">
      <c r="A178" s="316" t="s">
        <v>1122</v>
      </c>
      <c r="B178" s="24"/>
      <c r="C178" s="24">
        <f t="shared" ref="C178:I178" si="21">$B163/$B164-$B156/$B158</f>
        <v>500</v>
      </c>
      <c r="D178" s="24">
        <f t="shared" si="21"/>
        <v>500</v>
      </c>
      <c r="E178" s="24">
        <f t="shared" si="21"/>
        <v>500</v>
      </c>
      <c r="F178" s="24">
        <f t="shared" si="21"/>
        <v>500</v>
      </c>
      <c r="G178" s="24">
        <f t="shared" si="21"/>
        <v>500</v>
      </c>
      <c r="H178" s="24">
        <f t="shared" si="21"/>
        <v>500</v>
      </c>
      <c r="I178" s="24">
        <f t="shared" si="21"/>
        <v>500</v>
      </c>
      <c r="J178" s="24"/>
    </row>
    <row r="179" spans="1:10" x14ac:dyDescent="0.15">
      <c r="A179" s="297"/>
      <c r="B179" s="313"/>
      <c r="C179" s="24"/>
      <c r="D179" s="24"/>
      <c r="E179" s="24"/>
      <c r="F179" s="24"/>
      <c r="G179" s="24"/>
      <c r="H179" s="24"/>
      <c r="I179" s="24"/>
      <c r="J179" s="24"/>
    </row>
    <row r="180" spans="1:10" x14ac:dyDescent="0.15">
      <c r="A180" s="250" t="s">
        <v>856</v>
      </c>
      <c r="B180" s="240">
        <v>0</v>
      </c>
      <c r="C180" s="240">
        <v>1</v>
      </c>
      <c r="D180" s="240">
        <f t="shared" ref="D180:I180" si="22">C180+1</f>
        <v>2</v>
      </c>
      <c r="E180" s="240">
        <f t="shared" si="22"/>
        <v>3</v>
      </c>
      <c r="F180" s="240">
        <f t="shared" si="22"/>
        <v>4</v>
      </c>
      <c r="G180" s="240">
        <f t="shared" si="22"/>
        <v>5</v>
      </c>
      <c r="H180" s="240">
        <f t="shared" si="22"/>
        <v>6</v>
      </c>
      <c r="I180" s="240">
        <f t="shared" si="22"/>
        <v>7</v>
      </c>
      <c r="J180" s="240">
        <v>8</v>
      </c>
    </row>
    <row r="181" spans="1:10" s="272" customFormat="1" x14ac:dyDescent="0.15">
      <c r="A181" s="319" t="s">
        <v>528</v>
      </c>
      <c r="B181" s="320">
        <v>5000</v>
      </c>
      <c r="D181" s="320"/>
      <c r="E181" s="320"/>
      <c r="F181" s="320"/>
      <c r="G181" s="320"/>
      <c r="H181" s="320"/>
      <c r="I181" s="320"/>
    </row>
    <row r="182" spans="1:10" s="272" customFormat="1" x14ac:dyDescent="0.15">
      <c r="A182" s="319" t="s">
        <v>1129</v>
      </c>
      <c r="B182" s="320">
        <v>-11000</v>
      </c>
      <c r="D182" s="320"/>
      <c r="E182" s="320"/>
      <c r="F182" s="320"/>
      <c r="G182" s="320"/>
      <c r="H182" s="320"/>
      <c r="I182" s="320" t="s">
        <v>696</v>
      </c>
      <c r="J182" s="320">
        <f>B165</f>
        <v>500</v>
      </c>
    </row>
    <row r="183" spans="1:10" ht="15" x14ac:dyDescent="0.15">
      <c r="A183" s="316" t="s">
        <v>531</v>
      </c>
      <c r="B183" s="24"/>
      <c r="C183" s="24">
        <f t="shared" ref="C183:I183" si="23">(SUM($B169:$B171)-SUM($B173:$B175))*$B167</f>
        <v>3000.0000000000027</v>
      </c>
      <c r="D183" s="24">
        <f t="shared" si="23"/>
        <v>3000.0000000000027</v>
      </c>
      <c r="E183" s="24">
        <f t="shared" si="23"/>
        <v>3000.0000000000027</v>
      </c>
      <c r="F183" s="24">
        <f t="shared" si="23"/>
        <v>3000.0000000000027</v>
      </c>
      <c r="G183" s="24">
        <f t="shared" si="23"/>
        <v>3000.0000000000027</v>
      </c>
      <c r="H183" s="24">
        <f t="shared" si="23"/>
        <v>3000.0000000000027</v>
      </c>
      <c r="I183" s="24">
        <f t="shared" si="23"/>
        <v>3000.0000000000027</v>
      </c>
    </row>
    <row r="184" spans="1:10" ht="15" x14ac:dyDescent="0.15">
      <c r="A184" s="316" t="s">
        <v>529</v>
      </c>
      <c r="B184" s="24"/>
      <c r="C184" s="24">
        <f t="shared" ref="C184:I184" si="24">-(C183-C178)*$B160</f>
        <v>-1000.0000000000011</v>
      </c>
      <c r="D184" s="24">
        <f t="shared" si="24"/>
        <v>-1000.0000000000011</v>
      </c>
      <c r="E184" s="24">
        <f t="shared" si="24"/>
        <v>-1000.0000000000011</v>
      </c>
      <c r="F184" s="24">
        <f t="shared" si="24"/>
        <v>-1000.0000000000011</v>
      </c>
      <c r="G184" s="24">
        <f t="shared" si="24"/>
        <v>-1000.0000000000011</v>
      </c>
      <c r="H184" s="24">
        <f t="shared" si="24"/>
        <v>-1000.0000000000011</v>
      </c>
      <c r="I184" s="24">
        <f t="shared" si="24"/>
        <v>-1000.0000000000011</v>
      </c>
    </row>
    <row r="185" spans="1:10" ht="15" x14ac:dyDescent="0.15">
      <c r="A185" s="308" t="s">
        <v>518</v>
      </c>
      <c r="B185" s="312">
        <f>B161</f>
        <v>800</v>
      </c>
      <c r="C185" s="29"/>
      <c r="D185" s="312"/>
      <c r="E185" s="312"/>
      <c r="F185" s="312"/>
      <c r="G185" s="312"/>
      <c r="H185" s="312"/>
      <c r="I185" s="312"/>
      <c r="J185" s="29"/>
    </row>
    <row r="186" spans="1:10" ht="15" x14ac:dyDescent="0.15">
      <c r="A186" s="316" t="s">
        <v>530</v>
      </c>
      <c r="B186" s="24">
        <f>SUM(B181:B185)</f>
        <v>-5200</v>
      </c>
      <c r="C186" s="24">
        <f>SUM(C181:C185)</f>
        <v>2000.0000000000016</v>
      </c>
      <c r="D186" s="24">
        <f t="shared" ref="D186:J186" si="25">SUM(D181:D185)</f>
        <v>2000.0000000000016</v>
      </c>
      <c r="E186" s="24">
        <f t="shared" si="25"/>
        <v>2000.0000000000016</v>
      </c>
      <c r="F186" s="24">
        <f t="shared" si="25"/>
        <v>2000.0000000000016</v>
      </c>
      <c r="G186" s="24">
        <f t="shared" si="25"/>
        <v>2000.0000000000016</v>
      </c>
      <c r="H186" s="24">
        <f t="shared" si="25"/>
        <v>2000.0000000000016</v>
      </c>
      <c r="I186" s="24">
        <f t="shared" si="25"/>
        <v>2000.0000000000016</v>
      </c>
      <c r="J186" s="24">
        <f t="shared" si="25"/>
        <v>500</v>
      </c>
    </row>
    <row r="187" spans="1:10" x14ac:dyDescent="0.15">
      <c r="A187" s="297"/>
      <c r="B187" s="16"/>
      <c r="C187" s="16">
        <f>C186+B186</f>
        <v>-3199.9999999999982</v>
      </c>
      <c r="D187" s="16">
        <f>C187+D186</f>
        <v>-1199.9999999999966</v>
      </c>
      <c r="E187" s="16">
        <f t="shared" ref="E187:J187" si="26">D187+E186</f>
        <v>800.000000000005</v>
      </c>
      <c r="F187" s="16">
        <f t="shared" si="26"/>
        <v>2800.0000000000064</v>
      </c>
      <c r="G187" s="16">
        <f t="shared" si="26"/>
        <v>4800.0000000000082</v>
      </c>
      <c r="H187" s="16">
        <f t="shared" si="26"/>
        <v>6800.00000000001</v>
      </c>
      <c r="I187" s="16">
        <f t="shared" si="26"/>
        <v>8800.0000000000109</v>
      </c>
      <c r="J187" s="16">
        <f t="shared" si="26"/>
        <v>9300.0000000000109</v>
      </c>
    </row>
    <row r="188" spans="1:10" ht="15" x14ac:dyDescent="0.15">
      <c r="A188" s="12" t="s">
        <v>1116</v>
      </c>
      <c r="B188" s="104">
        <v>0.1</v>
      </c>
    </row>
    <row r="189" spans="1:10" ht="15" x14ac:dyDescent="0.15">
      <c r="A189" s="12" t="s">
        <v>1075</v>
      </c>
      <c r="B189" s="24">
        <f>NPV(B188,C186:J186)</f>
        <v>9970.0913254907355</v>
      </c>
    </row>
    <row r="190" spans="1:10" x14ac:dyDescent="0.15">
      <c r="A190" s="12"/>
      <c r="B190" s="24"/>
    </row>
    <row r="191" spans="1:10" x14ac:dyDescent="0.15">
      <c r="A191" s="9" t="s">
        <v>510</v>
      </c>
      <c r="B191" s="16">
        <f>D180+C174-D187/(E187-D187)</f>
        <v>2.5999999999999979</v>
      </c>
      <c r="C191" s="9" t="s">
        <v>1099</v>
      </c>
    </row>
    <row r="192" spans="1:10" x14ac:dyDescent="0.15">
      <c r="A192" s="12"/>
      <c r="B192" s="24"/>
    </row>
    <row r="193" spans="1:10" x14ac:dyDescent="0.15">
      <c r="A193" s="12"/>
      <c r="B193" s="24"/>
    </row>
    <row r="194" spans="1:10" ht="15" x14ac:dyDescent="0.15">
      <c r="A194" s="294" t="s">
        <v>532</v>
      </c>
      <c r="B194" s="312">
        <f>B186</f>
        <v>-5200</v>
      </c>
      <c r="C194" s="321">
        <f>C186/(1+$B$188)^C180</f>
        <v>1818.1818181818194</v>
      </c>
      <c r="D194" s="321">
        <f t="shared" ref="D194:J194" si="27">D186/(1+$B$188)^D180</f>
        <v>1652.8925619834722</v>
      </c>
      <c r="E194" s="321">
        <f t="shared" si="27"/>
        <v>1502.6296018031562</v>
      </c>
      <c r="F194" s="321">
        <f t="shared" si="27"/>
        <v>1366.0269107301422</v>
      </c>
      <c r="G194" s="321">
        <f t="shared" si="27"/>
        <v>1241.842646118311</v>
      </c>
      <c r="H194" s="321">
        <f t="shared" si="27"/>
        <v>1128.9478601075552</v>
      </c>
      <c r="I194" s="321">
        <f t="shared" si="27"/>
        <v>1026.3162364614136</v>
      </c>
      <c r="J194" s="321">
        <f t="shared" si="27"/>
        <v>233.25369010486659</v>
      </c>
    </row>
    <row r="195" spans="1:10" ht="15" x14ac:dyDescent="0.15">
      <c r="A195" s="316" t="s">
        <v>1124</v>
      </c>
      <c r="B195" s="24">
        <f>B194</f>
        <v>-5200</v>
      </c>
      <c r="C195" s="24">
        <f>SUMPRODUCT($B186:C186,POWER(1+$B188,-$B180:C180))</f>
        <v>-3381.8181818181802</v>
      </c>
      <c r="D195" s="24">
        <f>SUMPRODUCT($B186:D186,POWER(1+$B188,-$B180:D180))</f>
        <v>-1728.925619834708</v>
      </c>
      <c r="E195" s="24">
        <f>SUMPRODUCT($B186:E186,POWER(1+$B188,-$B180:E180))</f>
        <v>-226.29601803155174</v>
      </c>
      <c r="F195" s="24">
        <f>SUMPRODUCT($B186:F186,POWER(1+$B188,-$B180:F180))</f>
        <v>1139.7308926985904</v>
      </c>
      <c r="G195" s="24">
        <f>SUMPRODUCT($B186:G186,POWER(1+$B188,-$B180:G180))</f>
        <v>2381.5735388169014</v>
      </c>
      <c r="H195" s="24">
        <f>SUMPRODUCT($B186:H186,POWER(1+$B188,-$B180:H180))</f>
        <v>3510.5213989244567</v>
      </c>
      <c r="I195" s="24">
        <f>SUMPRODUCT($B186:I186,POWER(1+$B188,-$B180:I180))</f>
        <v>4536.8376353858703</v>
      </c>
    </row>
    <row r="210" spans="1:6" x14ac:dyDescent="0.15">
      <c r="A210" s="9" t="s">
        <v>1275</v>
      </c>
      <c r="B210" s="16">
        <f>C180-C195/(D195-C195)</f>
        <v>3.0459999999999976</v>
      </c>
      <c r="C210" s="9" t="s">
        <v>1099</v>
      </c>
    </row>
    <row r="212" spans="1:6" ht="15" x14ac:dyDescent="0.15">
      <c r="A212" s="8" t="s">
        <v>1031</v>
      </c>
    </row>
    <row r="213" spans="1:6" x14ac:dyDescent="0.15">
      <c r="A213" s="267" t="s">
        <v>5</v>
      </c>
    </row>
    <row r="214" spans="1:6" ht="15" x14ac:dyDescent="0.15">
      <c r="A214" s="8"/>
    </row>
    <row r="215" spans="1:6" ht="15" x14ac:dyDescent="0.15">
      <c r="A215" s="322" t="s">
        <v>533</v>
      </c>
      <c r="B215" s="335">
        <v>1000</v>
      </c>
    </row>
    <row r="216" spans="1:6" x14ac:dyDescent="0.15">
      <c r="A216" s="322"/>
    </row>
    <row r="217" spans="1:6" ht="15" x14ac:dyDescent="0.15">
      <c r="A217" s="322" t="s">
        <v>536</v>
      </c>
      <c r="B217" s="323">
        <v>4</v>
      </c>
    </row>
    <row r="218" spans="1:6" ht="15" x14ac:dyDescent="0.15">
      <c r="A218" s="322" t="s">
        <v>537</v>
      </c>
      <c r="B218" s="323">
        <v>3.2</v>
      </c>
    </row>
    <row r="219" spans="1:6" ht="15" x14ac:dyDescent="0.15">
      <c r="A219" s="322" t="s">
        <v>345</v>
      </c>
      <c r="B219" s="323">
        <v>1</v>
      </c>
    </row>
    <row r="220" spans="1:6" x14ac:dyDescent="0.15">
      <c r="A220" s="322"/>
    </row>
    <row r="221" spans="1:6" ht="15" x14ac:dyDescent="0.15">
      <c r="A221" s="322" t="s">
        <v>538</v>
      </c>
      <c r="B221" s="324">
        <v>0.2</v>
      </c>
    </row>
    <row r="223" spans="1:6" ht="15" x14ac:dyDescent="0.15">
      <c r="A223" s="322" t="s">
        <v>534</v>
      </c>
      <c r="B223" s="325">
        <v>0</v>
      </c>
      <c r="C223" s="204">
        <v>15</v>
      </c>
      <c r="D223" s="204">
        <v>30</v>
      </c>
      <c r="E223" s="204">
        <v>45</v>
      </c>
      <c r="F223" s="204">
        <v>60</v>
      </c>
    </row>
    <row r="224" spans="1:6" ht="15" x14ac:dyDescent="0.15">
      <c r="A224" s="322" t="s">
        <v>535</v>
      </c>
      <c r="B224" s="335">
        <v>0</v>
      </c>
      <c r="C224" s="43">
        <v>40</v>
      </c>
      <c r="D224" s="43">
        <v>60</v>
      </c>
      <c r="E224" s="43">
        <v>70</v>
      </c>
      <c r="F224" s="43">
        <v>75</v>
      </c>
    </row>
    <row r="225" spans="1:7" x14ac:dyDescent="0.15">
      <c r="A225" s="322"/>
    </row>
    <row r="226" spans="1:7" x14ac:dyDescent="0.15">
      <c r="A226" s="293" t="s">
        <v>535</v>
      </c>
    </row>
    <row r="227" spans="1:7" ht="15" x14ac:dyDescent="0.15">
      <c r="A227" s="322" t="s">
        <v>227</v>
      </c>
      <c r="B227" s="335">
        <f>$B215+B224</f>
        <v>1000</v>
      </c>
      <c r="C227" s="43">
        <f>$B215+C224</f>
        <v>1040</v>
      </c>
      <c r="D227" s="43">
        <f>$B215+D224</f>
        <v>1060</v>
      </c>
      <c r="E227" s="43">
        <f>$B215+E224</f>
        <v>1070</v>
      </c>
      <c r="F227" s="43">
        <f>$B215+F224</f>
        <v>1075</v>
      </c>
    </row>
    <row r="228" spans="1:7" ht="15" x14ac:dyDescent="0.15">
      <c r="A228" s="322" t="s">
        <v>539</v>
      </c>
      <c r="B228" s="335">
        <f>B227/$B217</f>
        <v>250</v>
      </c>
      <c r="C228" s="43">
        <f>C227/$B217</f>
        <v>260</v>
      </c>
      <c r="D228" s="43">
        <f>D227/$B217</f>
        <v>265</v>
      </c>
      <c r="E228" s="43">
        <f>E227/$B217</f>
        <v>267.5</v>
      </c>
      <c r="F228" s="43">
        <f>F227/$B217</f>
        <v>268.75</v>
      </c>
    </row>
    <row r="229" spans="1:7" ht="15" x14ac:dyDescent="0.15">
      <c r="A229" s="322" t="s">
        <v>541</v>
      </c>
      <c r="B229" s="335">
        <f>(($B218-$B219)*B228+$B219*$B228)</f>
        <v>800</v>
      </c>
      <c r="C229" s="43">
        <f>(($B218-$B219)*C228+$B219*$B228)</f>
        <v>822</v>
      </c>
      <c r="D229" s="43">
        <f>(($B218-$B219)*D228+$B219*$B228)</f>
        <v>833</v>
      </c>
      <c r="E229" s="43">
        <f>(($B218-$B219)*E228+$B219*$B228)</f>
        <v>838.5</v>
      </c>
      <c r="F229" s="43">
        <f>(($B218-$B219)*F228+$B219*$B228)</f>
        <v>841.25</v>
      </c>
      <c r="G229" s="326"/>
    </row>
    <row r="230" spans="1:7" ht="15" x14ac:dyDescent="0.15">
      <c r="A230" s="322" t="s">
        <v>982</v>
      </c>
      <c r="B230" s="335">
        <f>B227-B229</f>
        <v>200</v>
      </c>
      <c r="C230" s="43">
        <f>C227-C229</f>
        <v>218</v>
      </c>
      <c r="D230" s="43">
        <f>D227-D229</f>
        <v>227</v>
      </c>
      <c r="E230" s="43">
        <f>E227-E229</f>
        <v>231.5</v>
      </c>
      <c r="F230" s="43">
        <f>F227-F229</f>
        <v>233.75</v>
      </c>
    </row>
    <row r="231" spans="1:7" x14ac:dyDescent="0.15">
      <c r="A231" s="9" t="s">
        <v>540</v>
      </c>
      <c r="B231" s="335">
        <f>B230-$B230</f>
        <v>0</v>
      </c>
      <c r="C231" s="43">
        <f>C230-$B230</f>
        <v>18</v>
      </c>
      <c r="D231" s="43">
        <f>D230-$B230</f>
        <v>27</v>
      </c>
      <c r="E231" s="43">
        <f>E230-$B230</f>
        <v>31.5</v>
      </c>
      <c r="F231" s="43">
        <f>F230-$B230</f>
        <v>33.75</v>
      </c>
    </row>
    <row r="232" spans="1:7" x14ac:dyDescent="0.15">
      <c r="B232" s="313"/>
      <c r="C232" s="24"/>
      <c r="D232" s="24"/>
      <c r="E232" s="24"/>
      <c r="F232" s="24"/>
    </row>
    <row r="233" spans="1:7" ht="15" x14ac:dyDescent="0.15">
      <c r="A233" s="327" t="s">
        <v>1277</v>
      </c>
      <c r="B233" s="328">
        <v>1.2E-2</v>
      </c>
      <c r="C233" s="123">
        <v>0.02</v>
      </c>
      <c r="D233" s="123">
        <v>2.5000000000000001E-2</v>
      </c>
      <c r="E233" s="123">
        <v>0.03</v>
      </c>
      <c r="F233" s="123">
        <v>0.04</v>
      </c>
    </row>
    <row r="234" spans="1:7" x14ac:dyDescent="0.15">
      <c r="B234" s="313"/>
      <c r="C234" s="24"/>
      <c r="D234" s="24"/>
      <c r="E234" s="24"/>
      <c r="F234" s="24"/>
    </row>
    <row r="235" spans="1:7" ht="15" x14ac:dyDescent="0.15">
      <c r="A235" s="327" t="s">
        <v>492</v>
      </c>
      <c r="B235" s="313">
        <f>B227/365*30</f>
        <v>82.191780821917803</v>
      </c>
      <c r="C235" s="24">
        <f>C229/365*(30+C223)</f>
        <v>101.34246575342465</v>
      </c>
      <c r="D235" s="24">
        <f>D229/365*(30+D223)</f>
        <v>136.93150684931507</v>
      </c>
      <c r="E235" s="24">
        <f>E229/365*(30+E223)</f>
        <v>172.29452054794521</v>
      </c>
      <c r="F235" s="24">
        <f>F229/365*(30+F223)</f>
        <v>207.4315068493151</v>
      </c>
    </row>
    <row r="236" spans="1:7" ht="15" x14ac:dyDescent="0.15">
      <c r="A236" s="322" t="s">
        <v>1276</v>
      </c>
      <c r="B236" s="24"/>
      <c r="C236" s="24">
        <f>C235-$B$235</f>
        <v>19.150684931506845</v>
      </c>
      <c r="D236" s="24">
        <f>D235-$B$235</f>
        <v>54.739726027397268</v>
      </c>
      <c r="E236" s="24">
        <f>E235-$B$235</f>
        <v>90.102739726027409</v>
      </c>
      <c r="F236" s="24">
        <f>F235-$B$235</f>
        <v>125.2397260273973</v>
      </c>
    </row>
    <row r="237" spans="1:7" ht="15" x14ac:dyDescent="0.15">
      <c r="A237" s="322" t="s">
        <v>1279</v>
      </c>
      <c r="B237" s="24">
        <f>B233*B227</f>
        <v>12</v>
      </c>
      <c r="C237" s="24">
        <f>C233*C227</f>
        <v>20.8</v>
      </c>
      <c r="D237" s="24">
        <f>D233*D227</f>
        <v>26.5</v>
      </c>
      <c r="E237" s="24">
        <f>E233*E227</f>
        <v>32.1</v>
      </c>
      <c r="F237" s="24">
        <f>F233*F227</f>
        <v>43</v>
      </c>
    </row>
    <row r="238" spans="1:7" ht="15" x14ac:dyDescent="0.15">
      <c r="A238" s="322" t="s">
        <v>1278</v>
      </c>
      <c r="B238" s="24"/>
      <c r="C238" s="24">
        <f>C237-B237</f>
        <v>8.8000000000000007</v>
      </c>
      <c r="D238" s="24">
        <f>D237-C237</f>
        <v>5.6999999999999993</v>
      </c>
      <c r="E238" s="24">
        <f>E237-D237</f>
        <v>5.6000000000000014</v>
      </c>
      <c r="F238" s="24">
        <f>F237-E237</f>
        <v>10.899999999999999</v>
      </c>
    </row>
    <row r="239" spans="1:7" x14ac:dyDescent="0.15">
      <c r="A239" s="322"/>
      <c r="B239" s="24"/>
      <c r="C239" s="24"/>
      <c r="D239" s="24"/>
      <c r="E239" s="24"/>
      <c r="F239" s="24"/>
    </row>
    <row r="240" spans="1:7" ht="15" x14ac:dyDescent="0.15">
      <c r="A240" s="322" t="s">
        <v>1280</v>
      </c>
      <c r="B240" s="24"/>
      <c r="C240" s="24">
        <f>C231-C238</f>
        <v>9.1999999999999993</v>
      </c>
      <c r="D240" s="24">
        <f>D231-D238</f>
        <v>21.3</v>
      </c>
      <c r="E240" s="24">
        <f>E231-E238</f>
        <v>25.9</v>
      </c>
      <c r="F240" s="24">
        <f>F231-F238</f>
        <v>22.85</v>
      </c>
    </row>
    <row r="241" spans="1:6" ht="15" x14ac:dyDescent="0.15">
      <c r="A241" s="322" t="s">
        <v>1281</v>
      </c>
      <c r="B241" s="24"/>
      <c r="C241" s="24">
        <f>C236*$B$221</f>
        <v>3.830136986301369</v>
      </c>
      <c r="D241" s="24">
        <f>D236*$B$221</f>
        <v>10.947945205479455</v>
      </c>
      <c r="E241" s="24">
        <f>E236*$B$221</f>
        <v>18.020547945205482</v>
      </c>
      <c r="F241" s="24">
        <f>F236*$B$221</f>
        <v>25.047945205479461</v>
      </c>
    </row>
    <row r="242" spans="1:6" x14ac:dyDescent="0.15">
      <c r="A242" s="322"/>
      <c r="B242" s="24"/>
      <c r="C242" s="24"/>
      <c r="D242" s="24"/>
      <c r="E242" s="24"/>
      <c r="F242" s="24"/>
    </row>
    <row r="243" spans="1:6" x14ac:dyDescent="0.15">
      <c r="A243" s="322"/>
      <c r="B243" s="24"/>
      <c r="C243" s="24"/>
      <c r="D243" s="24"/>
      <c r="E243" s="24"/>
      <c r="F243" s="24"/>
    </row>
    <row r="244" spans="1:6" ht="15" x14ac:dyDescent="0.15">
      <c r="A244" s="322" t="s">
        <v>1075</v>
      </c>
      <c r="B244" s="16"/>
      <c r="C244" s="16">
        <f>C240-C241</f>
        <v>5.3698630136986303</v>
      </c>
      <c r="D244" s="16">
        <f>D240-D241</f>
        <v>10.352054794520546</v>
      </c>
      <c r="E244" s="16">
        <f>E240-E241</f>
        <v>7.8794520547945162</v>
      </c>
      <c r="F244" s="16">
        <f>F240-F241</f>
        <v>-2.1979452054794599</v>
      </c>
    </row>
    <row r="245" spans="1:6" x14ac:dyDescent="0.15">
      <c r="A245" s="322"/>
      <c r="B245" s="16"/>
      <c r="C245" s="16"/>
      <c r="D245" s="16"/>
      <c r="E245" s="16"/>
      <c r="F245" s="16"/>
    </row>
    <row r="246" spans="1:6" x14ac:dyDescent="0.15">
      <c r="A246" s="322"/>
      <c r="B246" s="16"/>
      <c r="C246" s="16"/>
      <c r="D246" s="16"/>
      <c r="E246" s="16"/>
      <c r="F246" s="16"/>
    </row>
    <row r="264" spans="1:7" ht="15" x14ac:dyDescent="0.15">
      <c r="A264" s="329" t="s">
        <v>543</v>
      </c>
      <c r="B264" s="330">
        <f>INDEX(B223:F223,1,MATCH(MAX(B244:F244),B244:F244,0))</f>
        <v>30</v>
      </c>
      <c r="C264" s="9" t="s">
        <v>383</v>
      </c>
      <c r="D264" s="9" t="s">
        <v>4</v>
      </c>
      <c r="G264" s="16">
        <f>D244*1000</f>
        <v>10352.054794520545</v>
      </c>
    </row>
    <row r="266" spans="1:7" x14ac:dyDescent="0.15">
      <c r="A266" s="331" t="s">
        <v>774</v>
      </c>
    </row>
    <row r="267" spans="1:7" ht="15" x14ac:dyDescent="0.15">
      <c r="A267" s="322" t="s">
        <v>534</v>
      </c>
      <c r="B267" s="332">
        <f>B223</f>
        <v>0</v>
      </c>
      <c r="C267" s="9">
        <f>C223</f>
        <v>15</v>
      </c>
      <c r="D267" s="9">
        <f>D223</f>
        <v>30</v>
      </c>
      <c r="E267" s="9">
        <f>E223</f>
        <v>45</v>
      </c>
      <c r="F267" s="9">
        <f>F223</f>
        <v>60</v>
      </c>
    </row>
    <row r="268" spans="1:7" ht="15" x14ac:dyDescent="0.15">
      <c r="A268" s="333" t="s">
        <v>773</v>
      </c>
      <c r="B268" s="334">
        <v>1.2E-2</v>
      </c>
      <c r="C268" s="162">
        <v>0.02</v>
      </c>
      <c r="D268" s="162">
        <v>4.4999999999999998E-2</v>
      </c>
      <c r="E268" s="162">
        <v>7.0000000000000007E-2</v>
      </c>
      <c r="F268" s="162">
        <v>0.12</v>
      </c>
    </row>
    <row r="269" spans="1:7" x14ac:dyDescent="0.15">
      <c r="A269" s="322"/>
      <c r="B269" s="334"/>
      <c r="C269" s="162"/>
      <c r="D269" s="162"/>
      <c r="E269" s="162"/>
      <c r="F269" s="162"/>
    </row>
    <row r="270" spans="1:7" ht="15" x14ac:dyDescent="0.15">
      <c r="A270" s="322" t="s">
        <v>227</v>
      </c>
      <c r="B270" s="323">
        <f>B227</f>
        <v>1000</v>
      </c>
      <c r="C270" s="24">
        <f>C227</f>
        <v>1040</v>
      </c>
      <c r="D270" s="24">
        <f>D227</f>
        <v>1060</v>
      </c>
      <c r="E270" s="24">
        <f>E227</f>
        <v>1070</v>
      </c>
      <c r="F270" s="24">
        <f>F227</f>
        <v>1075</v>
      </c>
    </row>
    <row r="271" spans="1:7" ht="15" x14ac:dyDescent="0.15">
      <c r="A271" s="322" t="s">
        <v>539</v>
      </c>
      <c r="B271" s="323">
        <f>B270/$B217</f>
        <v>250</v>
      </c>
      <c r="C271" s="24">
        <f>C270/$B217</f>
        <v>260</v>
      </c>
      <c r="D271" s="24">
        <f>D270/$B217</f>
        <v>265</v>
      </c>
      <c r="E271" s="24">
        <f>E270/$B217</f>
        <v>267.5</v>
      </c>
      <c r="F271" s="24">
        <f>F270/$B217</f>
        <v>268.75</v>
      </c>
    </row>
    <row r="272" spans="1:7" ht="15" x14ac:dyDescent="0.15">
      <c r="A272" s="322" t="s">
        <v>541</v>
      </c>
      <c r="B272" s="323">
        <f>(($B218-$B219)*B271+$B219*$B271)/(1-B268)</f>
        <v>809.71659919028343</v>
      </c>
      <c r="C272" s="24">
        <f>(($B218-$B219)*C271+$B219*$B271)/(1-C268)</f>
        <v>838.77551020408168</v>
      </c>
      <c r="D272" s="24">
        <f>(($B218-$B219)*D271+$B219*$B271)/(1-D268)</f>
        <v>872.25130890052355</v>
      </c>
      <c r="E272" s="24">
        <f>(($B218-$B219)*E271+$B219*$B271)/(1-E268)</f>
        <v>901.61290322580646</v>
      </c>
      <c r="F272" s="24">
        <f>(($B218-$B219)*F271+$B219*$B271)/(1-F268)</f>
        <v>955.96590909090912</v>
      </c>
    </row>
    <row r="273" spans="1:6" ht="15" x14ac:dyDescent="0.15">
      <c r="A273" s="322" t="s">
        <v>982</v>
      </c>
      <c r="B273" s="323">
        <f>B270-B272</f>
        <v>190.28340080971657</v>
      </c>
      <c r="C273" s="24">
        <f>C270-C272</f>
        <v>201.22448979591832</v>
      </c>
      <c r="D273" s="24">
        <f>D270-D272</f>
        <v>187.74869109947645</v>
      </c>
      <c r="E273" s="24">
        <f>E270-E272</f>
        <v>168.38709677419354</v>
      </c>
      <c r="F273" s="24">
        <f>F270-F272</f>
        <v>119.03409090909088</v>
      </c>
    </row>
    <row r="274" spans="1:6" x14ac:dyDescent="0.15">
      <c r="A274" s="9" t="s">
        <v>540</v>
      </c>
      <c r="B274" s="323">
        <f>B273-$B273</f>
        <v>0</v>
      </c>
      <c r="C274" s="24">
        <f>C273-$B273</f>
        <v>10.941088986201748</v>
      </c>
      <c r="D274" s="24">
        <f>D273-$B273</f>
        <v>-2.5347097102401221</v>
      </c>
      <c r="E274" s="24">
        <f>E273-$B273</f>
        <v>-21.896304035523031</v>
      </c>
      <c r="F274" s="24">
        <f>F273-$B273</f>
        <v>-71.24930990062569</v>
      </c>
    </row>
    <row r="275" spans="1:6" x14ac:dyDescent="0.15">
      <c r="A275" s="322"/>
      <c r="B275" s="24"/>
      <c r="C275" s="24"/>
      <c r="D275" s="24"/>
      <c r="E275" s="24"/>
      <c r="F275" s="24"/>
    </row>
    <row r="276" spans="1:6" x14ac:dyDescent="0.15">
      <c r="A276" s="26" t="s">
        <v>545</v>
      </c>
      <c r="B276" s="24"/>
      <c r="C276" s="24"/>
      <c r="D276" s="24"/>
      <c r="E276" s="24"/>
      <c r="F276" s="24"/>
    </row>
    <row r="277" spans="1:6" ht="15" x14ac:dyDescent="0.15">
      <c r="A277" s="322" t="s">
        <v>541</v>
      </c>
      <c r="B277" s="323">
        <f>-B272+$B272</f>
        <v>0</v>
      </c>
      <c r="C277" s="24">
        <f>-C272+$B272</f>
        <v>-29.058911013798252</v>
      </c>
      <c r="D277" s="24">
        <f>-D272+$B272</f>
        <v>-62.534709710240122</v>
      </c>
      <c r="E277" s="24">
        <f>-E272+$B272</f>
        <v>-91.896304035523031</v>
      </c>
      <c r="F277" s="24">
        <f>-F272+$B272</f>
        <v>-146.24930990062569</v>
      </c>
    </row>
    <row r="278" spans="1:6" ht="15" x14ac:dyDescent="0.15">
      <c r="A278" s="322" t="s">
        <v>542</v>
      </c>
      <c r="B278" s="323">
        <f>B270*POWER(1+$B267,-B269/360)-$B270</f>
        <v>0</v>
      </c>
      <c r="C278" s="24">
        <f>C270*POWER(1+$B221,-C267/360)-$B270</f>
        <v>32.129332730243277</v>
      </c>
      <c r="D278" s="24">
        <f>D270*POWER(1+$B221,-D267/360)-$B270</f>
        <v>44.016657776542161</v>
      </c>
      <c r="E278" s="24">
        <f>E270*POWER(1+$B221,-E267/360)-$B270</f>
        <v>45.890268046691062</v>
      </c>
      <c r="F278" s="24">
        <f>F270*POWER(1+$B221,-F267/360)-$B270</f>
        <v>42.825374104235607</v>
      </c>
    </row>
    <row r="280" spans="1:6" ht="15" x14ac:dyDescent="0.15">
      <c r="A280" s="322" t="s">
        <v>1075</v>
      </c>
      <c r="B280" s="16">
        <f>SUM(B277:B278)</f>
        <v>0</v>
      </c>
      <c r="C280" s="16">
        <f>SUM(C277:C278)</f>
        <v>3.0704217164450256</v>
      </c>
      <c r="D280" s="16">
        <f>SUM(D277:D278)</f>
        <v>-18.518051933697961</v>
      </c>
      <c r="E280" s="16">
        <f>SUM(E277:E278)</f>
        <v>-46.006035988831968</v>
      </c>
      <c r="F280" s="16">
        <f>SUM(F277:F278)</f>
        <v>-103.42393579639008</v>
      </c>
    </row>
    <row r="281" spans="1:6" x14ac:dyDescent="0.15">
      <c r="A281" s="322"/>
      <c r="B281" s="16"/>
      <c r="C281" s="16"/>
      <c r="D281" s="16"/>
      <c r="E281" s="16"/>
      <c r="F281" s="16"/>
    </row>
    <row r="299" spans="1:3" ht="15" x14ac:dyDescent="0.15">
      <c r="A299" s="329" t="s">
        <v>543</v>
      </c>
      <c r="B299" s="15">
        <v>15</v>
      </c>
      <c r="C299" s="9" t="s">
        <v>383</v>
      </c>
    </row>
  </sheetData>
  <phoneticPr fontId="4" type="noConversion"/>
  <pageMargins left="0.7" right="0.7" top="0.75" bottom="0.75" header="0.3" footer="0.3"/>
  <pageSetup paperSize="9" scale="67" fitToHeight="0"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V94"/>
  <sheetViews>
    <sheetView showGridLines="0" workbookViewId="0">
      <selection activeCell="C20" sqref="C20"/>
    </sheetView>
  </sheetViews>
  <sheetFormatPr baseColWidth="10" defaultColWidth="10.6640625" defaultRowHeight="14" x14ac:dyDescent="0.15"/>
  <cols>
    <col min="1" max="1" width="18.5" style="9" customWidth="1"/>
    <col min="2" max="16384" width="10.6640625" style="9"/>
  </cols>
  <sheetData>
    <row r="1" spans="1:256" x14ac:dyDescent="0.15">
      <c r="A1" s="32" t="s">
        <v>352</v>
      </c>
    </row>
    <row r="2" spans="1:256" ht="15" x14ac:dyDescent="0.15">
      <c r="A2" s="322" t="s">
        <v>74</v>
      </c>
      <c r="B2" s="9">
        <v>30.2</v>
      </c>
    </row>
    <row r="3" spans="1:256" x14ac:dyDescent="0.15">
      <c r="A3" s="9" t="s">
        <v>76</v>
      </c>
      <c r="B3" s="9">
        <v>5</v>
      </c>
    </row>
    <row r="4" spans="1:256" x14ac:dyDescent="0.15">
      <c r="A4" s="9" t="s">
        <v>75</v>
      </c>
      <c r="B4" s="9">
        <v>6</v>
      </c>
    </row>
    <row r="6" spans="1:256" x14ac:dyDescent="0.15">
      <c r="A6" s="293" t="s">
        <v>77</v>
      </c>
      <c r="J6" s="272" t="s">
        <v>696</v>
      </c>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c r="HT6" s="272"/>
      <c r="HU6" s="272"/>
      <c r="HV6" s="272"/>
      <c r="HW6" s="272"/>
      <c r="HX6" s="272"/>
      <c r="HY6" s="272"/>
      <c r="HZ6" s="272"/>
      <c r="IA6" s="272"/>
      <c r="IB6" s="272"/>
      <c r="IC6" s="272"/>
      <c r="ID6" s="272"/>
      <c r="IE6" s="272"/>
      <c r="IF6" s="272"/>
      <c r="IG6" s="272"/>
      <c r="IH6" s="272"/>
      <c r="II6" s="272"/>
      <c r="IJ6" s="272"/>
      <c r="IK6" s="272"/>
      <c r="IL6" s="272"/>
      <c r="IM6" s="272"/>
      <c r="IN6" s="272"/>
      <c r="IO6" s="272"/>
      <c r="IP6" s="272"/>
      <c r="IQ6" s="272"/>
      <c r="IR6" s="272"/>
      <c r="IS6" s="272"/>
      <c r="IT6" s="272"/>
      <c r="IU6" s="272"/>
      <c r="IV6" s="272"/>
    </row>
    <row r="7" spans="1:256" s="272" customFormat="1" x14ac:dyDescent="0.15">
      <c r="A7" s="9" t="s">
        <v>856</v>
      </c>
      <c r="B7" s="272">
        <v>0</v>
      </c>
      <c r="C7" s="272">
        <v>1</v>
      </c>
      <c r="D7" s="272">
        <v>2</v>
      </c>
      <c r="E7" s="272">
        <v>3</v>
      </c>
      <c r="F7" s="272">
        <v>4</v>
      </c>
      <c r="G7" s="272">
        <v>5</v>
      </c>
      <c r="H7" s="272">
        <v>6</v>
      </c>
      <c r="I7" s="272">
        <f>H7+1</f>
        <v>7</v>
      </c>
      <c r="J7" s="272">
        <f t="shared" ref="J7:BU7" si="0">I7+1</f>
        <v>8</v>
      </c>
      <c r="K7" s="272">
        <f t="shared" si="0"/>
        <v>9</v>
      </c>
      <c r="L7" s="272">
        <f t="shared" si="0"/>
        <v>10</v>
      </c>
      <c r="M7" s="272">
        <f t="shared" si="0"/>
        <v>11</v>
      </c>
      <c r="N7" s="272">
        <f t="shared" si="0"/>
        <v>12</v>
      </c>
      <c r="O7" s="272">
        <f t="shared" si="0"/>
        <v>13</v>
      </c>
      <c r="P7" s="272">
        <f t="shared" si="0"/>
        <v>14</v>
      </c>
      <c r="Q7" s="272">
        <f t="shared" si="0"/>
        <v>15</v>
      </c>
      <c r="R7" s="272">
        <f t="shared" si="0"/>
        <v>16</v>
      </c>
      <c r="S7" s="272">
        <f t="shared" si="0"/>
        <v>17</v>
      </c>
      <c r="T7" s="272">
        <f t="shared" si="0"/>
        <v>18</v>
      </c>
      <c r="U7" s="272">
        <f t="shared" si="0"/>
        <v>19</v>
      </c>
      <c r="V7" s="272">
        <f t="shared" si="0"/>
        <v>20</v>
      </c>
      <c r="W7" s="272">
        <f t="shared" si="0"/>
        <v>21</v>
      </c>
      <c r="X7" s="272">
        <f t="shared" si="0"/>
        <v>22</v>
      </c>
      <c r="Y7" s="272">
        <f t="shared" si="0"/>
        <v>23</v>
      </c>
      <c r="Z7" s="272">
        <f t="shared" si="0"/>
        <v>24</v>
      </c>
      <c r="AA7" s="272">
        <f t="shared" si="0"/>
        <v>25</v>
      </c>
      <c r="AB7" s="272">
        <f t="shared" si="0"/>
        <v>26</v>
      </c>
      <c r="AC7" s="272">
        <f t="shared" si="0"/>
        <v>27</v>
      </c>
      <c r="AD7" s="272">
        <f t="shared" si="0"/>
        <v>28</v>
      </c>
      <c r="AE7" s="272">
        <f t="shared" si="0"/>
        <v>29</v>
      </c>
      <c r="AF7" s="272">
        <f t="shared" si="0"/>
        <v>30</v>
      </c>
      <c r="AG7" s="272">
        <f t="shared" si="0"/>
        <v>31</v>
      </c>
      <c r="AH7" s="272">
        <f t="shared" si="0"/>
        <v>32</v>
      </c>
      <c r="AI7" s="272">
        <f t="shared" si="0"/>
        <v>33</v>
      </c>
      <c r="AJ7" s="272">
        <f t="shared" si="0"/>
        <v>34</v>
      </c>
      <c r="AK7" s="272">
        <f t="shared" si="0"/>
        <v>35</v>
      </c>
      <c r="AL7" s="272">
        <f t="shared" si="0"/>
        <v>36</v>
      </c>
      <c r="AM7" s="272">
        <f t="shared" si="0"/>
        <v>37</v>
      </c>
      <c r="AN7" s="272">
        <f t="shared" si="0"/>
        <v>38</v>
      </c>
      <c r="AO7" s="272">
        <f t="shared" si="0"/>
        <v>39</v>
      </c>
      <c r="AP7" s="272">
        <f t="shared" si="0"/>
        <v>40</v>
      </c>
      <c r="AQ7" s="272">
        <f t="shared" si="0"/>
        <v>41</v>
      </c>
      <c r="AR7" s="272">
        <f t="shared" si="0"/>
        <v>42</v>
      </c>
      <c r="AS7" s="272">
        <f t="shared" si="0"/>
        <v>43</v>
      </c>
      <c r="AT7" s="272">
        <f t="shared" si="0"/>
        <v>44</v>
      </c>
      <c r="AU7" s="272">
        <f t="shared" si="0"/>
        <v>45</v>
      </c>
      <c r="AV7" s="272">
        <f t="shared" si="0"/>
        <v>46</v>
      </c>
      <c r="AW7" s="272">
        <f t="shared" si="0"/>
        <v>47</v>
      </c>
      <c r="AX7" s="272">
        <f t="shared" si="0"/>
        <v>48</v>
      </c>
      <c r="AY7" s="272">
        <f t="shared" si="0"/>
        <v>49</v>
      </c>
      <c r="AZ7" s="272">
        <f t="shared" si="0"/>
        <v>50</v>
      </c>
      <c r="BA7" s="272">
        <f t="shared" si="0"/>
        <v>51</v>
      </c>
      <c r="BB7" s="272">
        <f t="shared" si="0"/>
        <v>52</v>
      </c>
      <c r="BC7" s="272">
        <f t="shared" si="0"/>
        <v>53</v>
      </c>
      <c r="BD7" s="272">
        <f t="shared" si="0"/>
        <v>54</v>
      </c>
      <c r="BE7" s="272">
        <f t="shared" si="0"/>
        <v>55</v>
      </c>
      <c r="BF7" s="272">
        <f t="shared" si="0"/>
        <v>56</v>
      </c>
      <c r="BG7" s="272">
        <f t="shared" si="0"/>
        <v>57</v>
      </c>
      <c r="BH7" s="272">
        <f t="shared" si="0"/>
        <v>58</v>
      </c>
      <c r="BI7" s="272">
        <f t="shared" si="0"/>
        <v>59</v>
      </c>
      <c r="BJ7" s="272">
        <f t="shared" si="0"/>
        <v>60</v>
      </c>
      <c r="BK7" s="272">
        <f t="shared" si="0"/>
        <v>61</v>
      </c>
      <c r="BL7" s="272">
        <f t="shared" si="0"/>
        <v>62</v>
      </c>
      <c r="BM7" s="272">
        <f t="shared" si="0"/>
        <v>63</v>
      </c>
      <c r="BN7" s="272">
        <f t="shared" si="0"/>
        <v>64</v>
      </c>
      <c r="BO7" s="272">
        <f t="shared" si="0"/>
        <v>65</v>
      </c>
      <c r="BP7" s="272">
        <f t="shared" si="0"/>
        <v>66</v>
      </c>
      <c r="BQ7" s="272">
        <f t="shared" si="0"/>
        <v>67</v>
      </c>
      <c r="BR7" s="272">
        <f t="shared" si="0"/>
        <v>68</v>
      </c>
      <c r="BS7" s="272">
        <f t="shared" si="0"/>
        <v>69</v>
      </c>
      <c r="BT7" s="272">
        <f t="shared" si="0"/>
        <v>70</v>
      </c>
      <c r="BU7" s="272">
        <f t="shared" si="0"/>
        <v>71</v>
      </c>
      <c r="BV7" s="272">
        <f t="shared" ref="BV7:EG7" si="1">BU7+1</f>
        <v>72</v>
      </c>
      <c r="BW7" s="272">
        <f t="shared" si="1"/>
        <v>73</v>
      </c>
      <c r="BX7" s="272">
        <f t="shared" si="1"/>
        <v>74</v>
      </c>
      <c r="BY7" s="272">
        <f t="shared" si="1"/>
        <v>75</v>
      </c>
      <c r="BZ7" s="272">
        <f t="shared" si="1"/>
        <v>76</v>
      </c>
      <c r="CA7" s="272">
        <f t="shared" si="1"/>
        <v>77</v>
      </c>
      <c r="CB7" s="272">
        <f t="shared" si="1"/>
        <v>78</v>
      </c>
      <c r="CC7" s="272">
        <f t="shared" si="1"/>
        <v>79</v>
      </c>
      <c r="CD7" s="272">
        <f t="shared" si="1"/>
        <v>80</v>
      </c>
      <c r="CE7" s="272">
        <f t="shared" si="1"/>
        <v>81</v>
      </c>
      <c r="CF7" s="272">
        <f t="shared" si="1"/>
        <v>82</v>
      </c>
      <c r="CG7" s="272">
        <f t="shared" si="1"/>
        <v>83</v>
      </c>
      <c r="CH7" s="272">
        <f t="shared" si="1"/>
        <v>84</v>
      </c>
      <c r="CI7" s="272">
        <f t="shared" si="1"/>
        <v>85</v>
      </c>
      <c r="CJ7" s="272">
        <f t="shared" si="1"/>
        <v>86</v>
      </c>
      <c r="CK7" s="272">
        <f t="shared" si="1"/>
        <v>87</v>
      </c>
      <c r="CL7" s="272">
        <f t="shared" si="1"/>
        <v>88</v>
      </c>
      <c r="CM7" s="272">
        <f t="shared" si="1"/>
        <v>89</v>
      </c>
      <c r="CN7" s="272">
        <f t="shared" si="1"/>
        <v>90</v>
      </c>
      <c r="CO7" s="272">
        <f t="shared" si="1"/>
        <v>91</v>
      </c>
      <c r="CP7" s="272">
        <f t="shared" si="1"/>
        <v>92</v>
      </c>
      <c r="CQ7" s="272">
        <f t="shared" si="1"/>
        <v>93</v>
      </c>
      <c r="CR7" s="272">
        <f t="shared" si="1"/>
        <v>94</v>
      </c>
      <c r="CS7" s="272">
        <f t="shared" si="1"/>
        <v>95</v>
      </c>
      <c r="CT7" s="272">
        <f t="shared" si="1"/>
        <v>96</v>
      </c>
      <c r="CU7" s="272">
        <f t="shared" si="1"/>
        <v>97</v>
      </c>
      <c r="CV7" s="272">
        <f t="shared" si="1"/>
        <v>98</v>
      </c>
      <c r="CW7" s="272">
        <f t="shared" si="1"/>
        <v>99</v>
      </c>
      <c r="CX7" s="272">
        <f t="shared" si="1"/>
        <v>100</v>
      </c>
      <c r="CY7" s="272">
        <f t="shared" si="1"/>
        <v>101</v>
      </c>
      <c r="CZ7" s="272">
        <f t="shared" si="1"/>
        <v>102</v>
      </c>
      <c r="DA7" s="272">
        <f t="shared" si="1"/>
        <v>103</v>
      </c>
      <c r="DB7" s="272">
        <f t="shared" si="1"/>
        <v>104</v>
      </c>
      <c r="DC7" s="272">
        <f t="shared" si="1"/>
        <v>105</v>
      </c>
      <c r="DD7" s="272">
        <f t="shared" si="1"/>
        <v>106</v>
      </c>
      <c r="DE7" s="272">
        <f t="shared" si="1"/>
        <v>107</v>
      </c>
      <c r="DF7" s="272">
        <f t="shared" si="1"/>
        <v>108</v>
      </c>
      <c r="DG7" s="272">
        <f t="shared" si="1"/>
        <v>109</v>
      </c>
      <c r="DH7" s="272">
        <f t="shared" si="1"/>
        <v>110</v>
      </c>
      <c r="DI7" s="272">
        <f t="shared" si="1"/>
        <v>111</v>
      </c>
      <c r="DJ7" s="272">
        <f t="shared" si="1"/>
        <v>112</v>
      </c>
      <c r="DK7" s="272">
        <f t="shared" si="1"/>
        <v>113</v>
      </c>
      <c r="DL7" s="272">
        <f t="shared" si="1"/>
        <v>114</v>
      </c>
      <c r="DM7" s="272">
        <f t="shared" si="1"/>
        <v>115</v>
      </c>
      <c r="DN7" s="272">
        <f t="shared" si="1"/>
        <v>116</v>
      </c>
      <c r="DO7" s="272">
        <f t="shared" si="1"/>
        <v>117</v>
      </c>
      <c r="DP7" s="272">
        <f t="shared" si="1"/>
        <v>118</v>
      </c>
      <c r="DQ7" s="272">
        <f t="shared" si="1"/>
        <v>119</v>
      </c>
      <c r="DR7" s="272">
        <f t="shared" si="1"/>
        <v>120</v>
      </c>
      <c r="DS7" s="272">
        <f t="shared" si="1"/>
        <v>121</v>
      </c>
      <c r="DT7" s="272">
        <f t="shared" si="1"/>
        <v>122</v>
      </c>
      <c r="DU7" s="272">
        <f t="shared" si="1"/>
        <v>123</v>
      </c>
      <c r="DV7" s="272">
        <f t="shared" si="1"/>
        <v>124</v>
      </c>
      <c r="DW7" s="272">
        <f t="shared" si="1"/>
        <v>125</v>
      </c>
      <c r="DX7" s="272">
        <f t="shared" si="1"/>
        <v>126</v>
      </c>
      <c r="DY7" s="272">
        <f t="shared" si="1"/>
        <v>127</v>
      </c>
      <c r="DZ7" s="272">
        <f t="shared" si="1"/>
        <v>128</v>
      </c>
      <c r="EA7" s="272">
        <f t="shared" si="1"/>
        <v>129</v>
      </c>
      <c r="EB7" s="272">
        <f t="shared" si="1"/>
        <v>130</v>
      </c>
      <c r="EC7" s="272">
        <f t="shared" si="1"/>
        <v>131</v>
      </c>
      <c r="ED7" s="272">
        <f t="shared" si="1"/>
        <v>132</v>
      </c>
      <c r="EE7" s="272">
        <f t="shared" si="1"/>
        <v>133</v>
      </c>
      <c r="EF7" s="272">
        <f t="shared" si="1"/>
        <v>134</v>
      </c>
      <c r="EG7" s="272">
        <f t="shared" si="1"/>
        <v>135</v>
      </c>
      <c r="EH7" s="272">
        <f t="shared" ref="EH7:GS7" si="2">EG7+1</f>
        <v>136</v>
      </c>
      <c r="EI7" s="272">
        <f t="shared" si="2"/>
        <v>137</v>
      </c>
      <c r="EJ7" s="272">
        <f t="shared" si="2"/>
        <v>138</v>
      </c>
      <c r="EK7" s="272">
        <f t="shared" si="2"/>
        <v>139</v>
      </c>
      <c r="EL7" s="272">
        <f t="shared" si="2"/>
        <v>140</v>
      </c>
      <c r="EM7" s="272">
        <f t="shared" si="2"/>
        <v>141</v>
      </c>
      <c r="EN7" s="272">
        <f t="shared" si="2"/>
        <v>142</v>
      </c>
      <c r="EO7" s="272">
        <f t="shared" si="2"/>
        <v>143</v>
      </c>
      <c r="EP7" s="272">
        <f t="shared" si="2"/>
        <v>144</v>
      </c>
      <c r="EQ7" s="272">
        <f t="shared" si="2"/>
        <v>145</v>
      </c>
      <c r="ER7" s="272">
        <f t="shared" si="2"/>
        <v>146</v>
      </c>
      <c r="ES7" s="272">
        <f t="shared" si="2"/>
        <v>147</v>
      </c>
      <c r="ET7" s="272">
        <f t="shared" si="2"/>
        <v>148</v>
      </c>
      <c r="EU7" s="272">
        <f t="shared" si="2"/>
        <v>149</v>
      </c>
      <c r="EV7" s="272">
        <f t="shared" si="2"/>
        <v>150</v>
      </c>
      <c r="EW7" s="272">
        <f t="shared" si="2"/>
        <v>151</v>
      </c>
      <c r="EX7" s="272">
        <f t="shared" si="2"/>
        <v>152</v>
      </c>
      <c r="EY7" s="272">
        <f t="shared" si="2"/>
        <v>153</v>
      </c>
      <c r="EZ7" s="272">
        <f t="shared" si="2"/>
        <v>154</v>
      </c>
      <c r="FA7" s="272">
        <f t="shared" si="2"/>
        <v>155</v>
      </c>
      <c r="FB7" s="272">
        <f t="shared" si="2"/>
        <v>156</v>
      </c>
      <c r="FC7" s="272">
        <f t="shared" si="2"/>
        <v>157</v>
      </c>
      <c r="FD7" s="272">
        <f t="shared" si="2"/>
        <v>158</v>
      </c>
      <c r="FE7" s="272">
        <f t="shared" si="2"/>
        <v>159</v>
      </c>
      <c r="FF7" s="272">
        <f t="shared" si="2"/>
        <v>160</v>
      </c>
      <c r="FG7" s="272">
        <f t="shared" si="2"/>
        <v>161</v>
      </c>
      <c r="FH7" s="272">
        <f t="shared" si="2"/>
        <v>162</v>
      </c>
      <c r="FI7" s="272">
        <f t="shared" si="2"/>
        <v>163</v>
      </c>
      <c r="FJ7" s="272">
        <f t="shared" si="2"/>
        <v>164</v>
      </c>
      <c r="FK7" s="272">
        <f t="shared" si="2"/>
        <v>165</v>
      </c>
      <c r="FL7" s="272">
        <f t="shared" si="2"/>
        <v>166</v>
      </c>
      <c r="FM7" s="272">
        <f t="shared" si="2"/>
        <v>167</v>
      </c>
      <c r="FN7" s="272">
        <f t="shared" si="2"/>
        <v>168</v>
      </c>
      <c r="FO7" s="272">
        <f t="shared" si="2"/>
        <v>169</v>
      </c>
      <c r="FP7" s="272">
        <f t="shared" si="2"/>
        <v>170</v>
      </c>
      <c r="FQ7" s="272">
        <f t="shared" si="2"/>
        <v>171</v>
      </c>
      <c r="FR7" s="272">
        <f t="shared" si="2"/>
        <v>172</v>
      </c>
      <c r="FS7" s="272">
        <f t="shared" si="2"/>
        <v>173</v>
      </c>
      <c r="FT7" s="272">
        <f t="shared" si="2"/>
        <v>174</v>
      </c>
      <c r="FU7" s="272">
        <f t="shared" si="2"/>
        <v>175</v>
      </c>
      <c r="FV7" s="272">
        <f t="shared" si="2"/>
        <v>176</v>
      </c>
      <c r="FW7" s="272">
        <f t="shared" si="2"/>
        <v>177</v>
      </c>
      <c r="FX7" s="272">
        <f t="shared" si="2"/>
        <v>178</v>
      </c>
      <c r="FY7" s="272">
        <f t="shared" si="2"/>
        <v>179</v>
      </c>
      <c r="FZ7" s="272">
        <f t="shared" si="2"/>
        <v>180</v>
      </c>
      <c r="GA7" s="272">
        <f t="shared" si="2"/>
        <v>181</v>
      </c>
      <c r="GB7" s="272">
        <f t="shared" si="2"/>
        <v>182</v>
      </c>
      <c r="GC7" s="272">
        <f t="shared" si="2"/>
        <v>183</v>
      </c>
      <c r="GD7" s="272">
        <f t="shared" si="2"/>
        <v>184</v>
      </c>
      <c r="GE7" s="272">
        <f t="shared" si="2"/>
        <v>185</v>
      </c>
      <c r="GF7" s="272">
        <f t="shared" si="2"/>
        <v>186</v>
      </c>
      <c r="GG7" s="272">
        <f t="shared" si="2"/>
        <v>187</v>
      </c>
      <c r="GH7" s="272">
        <f t="shared" si="2"/>
        <v>188</v>
      </c>
      <c r="GI7" s="272">
        <f t="shared" si="2"/>
        <v>189</v>
      </c>
      <c r="GJ7" s="272">
        <f t="shared" si="2"/>
        <v>190</v>
      </c>
      <c r="GK7" s="272">
        <f t="shared" si="2"/>
        <v>191</v>
      </c>
      <c r="GL7" s="272">
        <f t="shared" si="2"/>
        <v>192</v>
      </c>
      <c r="GM7" s="272">
        <f t="shared" si="2"/>
        <v>193</v>
      </c>
      <c r="GN7" s="272">
        <f t="shared" si="2"/>
        <v>194</v>
      </c>
      <c r="GO7" s="272">
        <f t="shared" si="2"/>
        <v>195</v>
      </c>
      <c r="GP7" s="272">
        <f t="shared" si="2"/>
        <v>196</v>
      </c>
      <c r="GQ7" s="272">
        <f t="shared" si="2"/>
        <v>197</v>
      </c>
      <c r="GR7" s="272">
        <f t="shared" si="2"/>
        <v>198</v>
      </c>
      <c r="GS7" s="272">
        <f t="shared" si="2"/>
        <v>199</v>
      </c>
      <c r="GT7" s="272">
        <f t="shared" ref="GT7:IV7" si="3">GS7+1</f>
        <v>200</v>
      </c>
      <c r="GU7" s="272">
        <f t="shared" si="3"/>
        <v>201</v>
      </c>
      <c r="GV7" s="272">
        <f t="shared" si="3"/>
        <v>202</v>
      </c>
      <c r="GW7" s="272">
        <f t="shared" si="3"/>
        <v>203</v>
      </c>
      <c r="GX7" s="272">
        <f t="shared" si="3"/>
        <v>204</v>
      </c>
      <c r="GY7" s="272">
        <f t="shared" si="3"/>
        <v>205</v>
      </c>
      <c r="GZ7" s="272">
        <f t="shared" si="3"/>
        <v>206</v>
      </c>
      <c r="HA7" s="272">
        <f t="shared" si="3"/>
        <v>207</v>
      </c>
      <c r="HB7" s="272">
        <f t="shared" si="3"/>
        <v>208</v>
      </c>
      <c r="HC7" s="272">
        <f t="shared" si="3"/>
        <v>209</v>
      </c>
      <c r="HD7" s="272">
        <f t="shared" si="3"/>
        <v>210</v>
      </c>
      <c r="HE7" s="272">
        <f t="shared" si="3"/>
        <v>211</v>
      </c>
      <c r="HF7" s="272">
        <f t="shared" si="3"/>
        <v>212</v>
      </c>
      <c r="HG7" s="272">
        <f t="shared" si="3"/>
        <v>213</v>
      </c>
      <c r="HH7" s="272">
        <f t="shared" si="3"/>
        <v>214</v>
      </c>
      <c r="HI7" s="272">
        <f t="shared" si="3"/>
        <v>215</v>
      </c>
      <c r="HJ7" s="272">
        <f t="shared" si="3"/>
        <v>216</v>
      </c>
      <c r="HK7" s="272">
        <f t="shared" si="3"/>
        <v>217</v>
      </c>
      <c r="HL7" s="272">
        <f t="shared" si="3"/>
        <v>218</v>
      </c>
      <c r="HM7" s="272">
        <f t="shared" si="3"/>
        <v>219</v>
      </c>
      <c r="HN7" s="272">
        <f t="shared" si="3"/>
        <v>220</v>
      </c>
      <c r="HO7" s="272">
        <f t="shared" si="3"/>
        <v>221</v>
      </c>
      <c r="HP7" s="272">
        <f t="shared" si="3"/>
        <v>222</v>
      </c>
      <c r="HQ7" s="272">
        <f t="shared" si="3"/>
        <v>223</v>
      </c>
      <c r="HR7" s="272">
        <f t="shared" si="3"/>
        <v>224</v>
      </c>
      <c r="HS7" s="272">
        <f t="shared" si="3"/>
        <v>225</v>
      </c>
      <c r="HT7" s="272">
        <f t="shared" si="3"/>
        <v>226</v>
      </c>
      <c r="HU7" s="272">
        <f t="shared" si="3"/>
        <v>227</v>
      </c>
      <c r="HV7" s="272">
        <f t="shared" si="3"/>
        <v>228</v>
      </c>
      <c r="HW7" s="272">
        <f t="shared" si="3"/>
        <v>229</v>
      </c>
      <c r="HX7" s="272">
        <f t="shared" si="3"/>
        <v>230</v>
      </c>
      <c r="HY7" s="272">
        <f t="shared" si="3"/>
        <v>231</v>
      </c>
      <c r="HZ7" s="272">
        <f t="shared" si="3"/>
        <v>232</v>
      </c>
      <c r="IA7" s="272">
        <f t="shared" si="3"/>
        <v>233</v>
      </c>
      <c r="IB7" s="272">
        <f t="shared" si="3"/>
        <v>234</v>
      </c>
      <c r="IC7" s="272">
        <f t="shared" si="3"/>
        <v>235</v>
      </c>
      <c r="ID7" s="272">
        <f t="shared" si="3"/>
        <v>236</v>
      </c>
      <c r="IE7" s="272">
        <f t="shared" si="3"/>
        <v>237</v>
      </c>
      <c r="IF7" s="272">
        <f t="shared" si="3"/>
        <v>238</v>
      </c>
      <c r="IG7" s="272">
        <f t="shared" si="3"/>
        <v>239</v>
      </c>
      <c r="IH7" s="272">
        <f t="shared" si="3"/>
        <v>240</v>
      </c>
      <c r="II7" s="272">
        <f t="shared" si="3"/>
        <v>241</v>
      </c>
      <c r="IJ7" s="272">
        <f t="shared" si="3"/>
        <v>242</v>
      </c>
      <c r="IK7" s="272">
        <f t="shared" si="3"/>
        <v>243</v>
      </c>
      <c r="IL7" s="272">
        <f t="shared" si="3"/>
        <v>244</v>
      </c>
      <c r="IM7" s="272">
        <f t="shared" si="3"/>
        <v>245</v>
      </c>
      <c r="IN7" s="272">
        <f t="shared" si="3"/>
        <v>246</v>
      </c>
      <c r="IO7" s="272">
        <f t="shared" si="3"/>
        <v>247</v>
      </c>
      <c r="IP7" s="272">
        <f t="shared" si="3"/>
        <v>248</v>
      </c>
      <c r="IQ7" s="272">
        <f t="shared" si="3"/>
        <v>249</v>
      </c>
      <c r="IR7" s="272">
        <f t="shared" si="3"/>
        <v>250</v>
      </c>
      <c r="IS7" s="272">
        <f t="shared" si="3"/>
        <v>251</v>
      </c>
      <c r="IT7" s="272">
        <f t="shared" si="3"/>
        <v>252</v>
      </c>
      <c r="IU7" s="272">
        <f t="shared" si="3"/>
        <v>253</v>
      </c>
      <c r="IV7" s="272">
        <f t="shared" si="3"/>
        <v>254</v>
      </c>
    </row>
    <row r="8" spans="1:256" s="272" customFormat="1" x14ac:dyDescent="0.15">
      <c r="A8" s="9" t="s">
        <v>1104</v>
      </c>
      <c r="B8" s="272">
        <v>-30.2</v>
      </c>
      <c r="C8" s="272">
        <v>5</v>
      </c>
      <c r="D8" s="272">
        <v>5</v>
      </c>
      <c r="E8" s="272">
        <v>5</v>
      </c>
      <c r="F8" s="272">
        <v>5</v>
      </c>
      <c r="G8" s="272">
        <v>5</v>
      </c>
      <c r="H8" s="272">
        <v>6</v>
      </c>
      <c r="I8" s="272">
        <v>6</v>
      </c>
      <c r="J8" s="272">
        <v>6</v>
      </c>
      <c r="K8" s="272">
        <v>6</v>
      </c>
      <c r="L8" s="272">
        <v>6</v>
      </c>
      <c r="M8" s="272">
        <v>6</v>
      </c>
      <c r="N8" s="272">
        <v>6</v>
      </c>
      <c r="O8" s="272">
        <v>6</v>
      </c>
      <c r="P8" s="272">
        <v>6</v>
      </c>
      <c r="Q8" s="272">
        <v>6</v>
      </c>
      <c r="R8" s="272">
        <v>6</v>
      </c>
      <c r="S8" s="272">
        <v>6</v>
      </c>
      <c r="T8" s="272">
        <v>6</v>
      </c>
      <c r="U8" s="272">
        <v>6</v>
      </c>
      <c r="V8" s="272">
        <v>6</v>
      </c>
      <c r="W8" s="272">
        <v>6</v>
      </c>
      <c r="X8" s="272">
        <v>6</v>
      </c>
      <c r="Y8" s="272">
        <v>6</v>
      </c>
      <c r="Z8" s="272">
        <v>6</v>
      </c>
      <c r="AA8" s="272">
        <v>6</v>
      </c>
      <c r="AB8" s="272">
        <v>6</v>
      </c>
      <c r="AC8" s="272">
        <v>6</v>
      </c>
      <c r="AD8" s="272">
        <v>6</v>
      </c>
      <c r="AE8" s="272">
        <v>6</v>
      </c>
      <c r="AF8" s="272">
        <v>6</v>
      </c>
      <c r="AG8" s="272">
        <v>6</v>
      </c>
      <c r="AH8" s="272">
        <v>6</v>
      </c>
      <c r="AI8" s="272">
        <v>6</v>
      </c>
      <c r="AJ8" s="272">
        <v>6</v>
      </c>
      <c r="AK8" s="272">
        <v>6</v>
      </c>
      <c r="AL8" s="272">
        <v>6</v>
      </c>
      <c r="AM8" s="272">
        <v>6</v>
      </c>
      <c r="AN8" s="272">
        <v>6</v>
      </c>
      <c r="AO8" s="272">
        <v>6</v>
      </c>
      <c r="AP8" s="272">
        <v>6</v>
      </c>
      <c r="AQ8" s="272">
        <v>6</v>
      </c>
      <c r="AR8" s="272">
        <v>6</v>
      </c>
      <c r="AS8" s="272">
        <v>6</v>
      </c>
      <c r="AT8" s="272">
        <v>6</v>
      </c>
      <c r="AU8" s="272">
        <v>6</v>
      </c>
      <c r="AV8" s="272">
        <v>6</v>
      </c>
      <c r="AW8" s="272">
        <v>6</v>
      </c>
      <c r="AX8" s="272">
        <v>6</v>
      </c>
      <c r="AY8" s="272">
        <v>6</v>
      </c>
      <c r="AZ8" s="272">
        <v>6</v>
      </c>
      <c r="BA8" s="272">
        <v>6</v>
      </c>
      <c r="BB8" s="272">
        <v>6</v>
      </c>
      <c r="BC8" s="272">
        <v>6</v>
      </c>
      <c r="BD8" s="272">
        <v>6</v>
      </c>
      <c r="BE8" s="272">
        <v>6</v>
      </c>
      <c r="BF8" s="272">
        <v>6</v>
      </c>
      <c r="BG8" s="272">
        <v>6</v>
      </c>
      <c r="BH8" s="272">
        <v>6</v>
      </c>
      <c r="BI8" s="272">
        <v>6</v>
      </c>
      <c r="BJ8" s="272">
        <v>6</v>
      </c>
      <c r="BK8" s="272">
        <v>6</v>
      </c>
      <c r="BL8" s="272">
        <v>6</v>
      </c>
      <c r="BM8" s="272">
        <v>6</v>
      </c>
      <c r="BN8" s="272">
        <v>6</v>
      </c>
      <c r="BO8" s="272">
        <v>6</v>
      </c>
      <c r="BP8" s="272">
        <v>6</v>
      </c>
      <c r="BQ8" s="272">
        <v>6</v>
      </c>
      <c r="BR8" s="272">
        <v>6</v>
      </c>
      <c r="BS8" s="272">
        <v>6</v>
      </c>
      <c r="BT8" s="272">
        <v>6</v>
      </c>
      <c r="BU8" s="272">
        <v>6</v>
      </c>
      <c r="BV8" s="272">
        <v>6</v>
      </c>
      <c r="BW8" s="272">
        <v>6</v>
      </c>
      <c r="BX8" s="272">
        <v>6</v>
      </c>
      <c r="BY8" s="272">
        <v>6</v>
      </c>
      <c r="BZ8" s="272">
        <v>6</v>
      </c>
      <c r="CA8" s="272">
        <v>6</v>
      </c>
      <c r="CB8" s="272">
        <v>6</v>
      </c>
      <c r="CC8" s="272">
        <v>6</v>
      </c>
      <c r="CD8" s="272">
        <v>6</v>
      </c>
      <c r="CE8" s="272">
        <v>6</v>
      </c>
      <c r="CF8" s="272">
        <v>6</v>
      </c>
      <c r="CG8" s="272">
        <v>6</v>
      </c>
      <c r="CH8" s="272">
        <v>6</v>
      </c>
      <c r="CI8" s="272">
        <v>6</v>
      </c>
      <c r="CJ8" s="272">
        <v>6</v>
      </c>
      <c r="CK8" s="272">
        <v>6</v>
      </c>
      <c r="CL8" s="272">
        <v>6</v>
      </c>
      <c r="CM8" s="272">
        <v>6</v>
      </c>
      <c r="CN8" s="272">
        <v>6</v>
      </c>
      <c r="CO8" s="272">
        <v>6</v>
      </c>
      <c r="CP8" s="272">
        <v>6</v>
      </c>
      <c r="CQ8" s="272">
        <v>6</v>
      </c>
      <c r="CR8" s="272">
        <v>6</v>
      </c>
      <c r="CS8" s="272">
        <v>6</v>
      </c>
      <c r="CT8" s="272">
        <v>6</v>
      </c>
      <c r="CU8" s="272">
        <v>6</v>
      </c>
      <c r="CV8" s="272">
        <v>6</v>
      </c>
      <c r="CW8" s="272">
        <v>6</v>
      </c>
      <c r="CX8" s="272">
        <v>6</v>
      </c>
      <c r="CY8" s="272">
        <v>6</v>
      </c>
      <c r="CZ8" s="272">
        <v>6</v>
      </c>
      <c r="DA8" s="272">
        <v>6</v>
      </c>
      <c r="DB8" s="272">
        <v>6</v>
      </c>
      <c r="DC8" s="272">
        <v>6</v>
      </c>
      <c r="DD8" s="272">
        <v>6</v>
      </c>
      <c r="DE8" s="272">
        <v>6</v>
      </c>
      <c r="DF8" s="272">
        <v>6</v>
      </c>
      <c r="DG8" s="272">
        <v>6</v>
      </c>
      <c r="DH8" s="272">
        <v>6</v>
      </c>
      <c r="DI8" s="272">
        <v>6</v>
      </c>
      <c r="DJ8" s="272">
        <v>6</v>
      </c>
      <c r="DK8" s="272">
        <v>6</v>
      </c>
      <c r="DL8" s="272">
        <v>6</v>
      </c>
      <c r="DM8" s="272">
        <v>6</v>
      </c>
      <c r="DN8" s="272">
        <v>6</v>
      </c>
      <c r="DO8" s="272">
        <v>6</v>
      </c>
      <c r="DP8" s="272">
        <v>6</v>
      </c>
      <c r="DQ8" s="272">
        <v>6</v>
      </c>
      <c r="DR8" s="272">
        <v>6</v>
      </c>
      <c r="DS8" s="272">
        <v>6</v>
      </c>
      <c r="DT8" s="272">
        <v>6</v>
      </c>
      <c r="DU8" s="272">
        <v>6</v>
      </c>
      <c r="DV8" s="272">
        <v>6</v>
      </c>
      <c r="DW8" s="272">
        <v>6</v>
      </c>
      <c r="DX8" s="272">
        <v>6</v>
      </c>
      <c r="DY8" s="272">
        <v>6</v>
      </c>
      <c r="DZ8" s="272">
        <v>6</v>
      </c>
      <c r="EA8" s="272">
        <v>6</v>
      </c>
      <c r="EB8" s="272">
        <v>6</v>
      </c>
      <c r="EC8" s="272">
        <v>6</v>
      </c>
      <c r="ED8" s="272">
        <v>6</v>
      </c>
      <c r="EE8" s="272">
        <v>6</v>
      </c>
      <c r="EF8" s="272">
        <v>6</v>
      </c>
      <c r="EG8" s="272">
        <v>6</v>
      </c>
      <c r="EH8" s="272">
        <v>6</v>
      </c>
      <c r="EI8" s="272">
        <v>6</v>
      </c>
      <c r="EJ8" s="272">
        <v>6</v>
      </c>
      <c r="EK8" s="272">
        <v>6</v>
      </c>
      <c r="EL8" s="272">
        <v>6</v>
      </c>
      <c r="EM8" s="272">
        <v>6</v>
      </c>
      <c r="EN8" s="272">
        <v>6</v>
      </c>
      <c r="EO8" s="272">
        <v>6</v>
      </c>
      <c r="EP8" s="272">
        <v>6</v>
      </c>
      <c r="EQ8" s="272">
        <v>6</v>
      </c>
      <c r="ER8" s="272">
        <v>6</v>
      </c>
      <c r="ES8" s="272">
        <v>6</v>
      </c>
      <c r="ET8" s="272">
        <v>6</v>
      </c>
      <c r="EU8" s="272">
        <v>6</v>
      </c>
      <c r="EV8" s="272">
        <v>6</v>
      </c>
      <c r="EW8" s="272">
        <v>6</v>
      </c>
      <c r="EX8" s="272">
        <v>6</v>
      </c>
      <c r="EY8" s="272">
        <v>6</v>
      </c>
      <c r="EZ8" s="272">
        <v>6</v>
      </c>
      <c r="FA8" s="272">
        <v>6</v>
      </c>
      <c r="FB8" s="272">
        <v>6</v>
      </c>
      <c r="FC8" s="272">
        <v>6</v>
      </c>
      <c r="FD8" s="272">
        <v>6</v>
      </c>
      <c r="FE8" s="272">
        <v>6</v>
      </c>
      <c r="FF8" s="272">
        <v>6</v>
      </c>
      <c r="FG8" s="272">
        <v>6</v>
      </c>
      <c r="FH8" s="272">
        <v>6</v>
      </c>
      <c r="FI8" s="272">
        <v>6</v>
      </c>
      <c r="FJ8" s="272">
        <v>6</v>
      </c>
      <c r="FK8" s="272">
        <v>6</v>
      </c>
      <c r="FL8" s="272">
        <v>6</v>
      </c>
      <c r="FM8" s="272">
        <v>6</v>
      </c>
      <c r="FN8" s="272">
        <v>6</v>
      </c>
      <c r="FO8" s="272">
        <v>6</v>
      </c>
      <c r="FP8" s="272">
        <v>6</v>
      </c>
      <c r="FQ8" s="272">
        <v>6</v>
      </c>
      <c r="FR8" s="272">
        <v>6</v>
      </c>
      <c r="FS8" s="272">
        <v>6</v>
      </c>
      <c r="FT8" s="272">
        <v>6</v>
      </c>
      <c r="FU8" s="272">
        <v>6</v>
      </c>
      <c r="FV8" s="272">
        <v>6</v>
      </c>
      <c r="FW8" s="272">
        <v>6</v>
      </c>
      <c r="FX8" s="272">
        <v>6</v>
      </c>
      <c r="FY8" s="272">
        <v>6</v>
      </c>
      <c r="FZ8" s="272">
        <v>6</v>
      </c>
      <c r="GA8" s="272">
        <v>6</v>
      </c>
      <c r="GB8" s="272">
        <v>6</v>
      </c>
      <c r="GC8" s="272">
        <v>6</v>
      </c>
      <c r="GD8" s="272">
        <v>6</v>
      </c>
      <c r="GE8" s="272">
        <v>6</v>
      </c>
      <c r="GF8" s="272">
        <v>6</v>
      </c>
      <c r="GG8" s="272">
        <v>6</v>
      </c>
      <c r="GH8" s="272">
        <v>6</v>
      </c>
      <c r="GI8" s="272">
        <v>6</v>
      </c>
      <c r="GJ8" s="272">
        <v>6</v>
      </c>
      <c r="GK8" s="272">
        <v>6</v>
      </c>
      <c r="GL8" s="272">
        <v>6</v>
      </c>
      <c r="GM8" s="272">
        <v>6</v>
      </c>
      <c r="GN8" s="272">
        <v>6</v>
      </c>
      <c r="GO8" s="272">
        <v>6</v>
      </c>
      <c r="GP8" s="272">
        <v>6</v>
      </c>
      <c r="GQ8" s="272">
        <v>6</v>
      </c>
      <c r="GR8" s="272">
        <v>6</v>
      </c>
      <c r="GS8" s="272">
        <v>6</v>
      </c>
      <c r="GT8" s="272">
        <v>6</v>
      </c>
      <c r="GU8" s="272">
        <v>6</v>
      </c>
      <c r="GV8" s="272">
        <v>6</v>
      </c>
      <c r="GW8" s="272">
        <v>6</v>
      </c>
      <c r="GX8" s="272">
        <v>6</v>
      </c>
      <c r="GY8" s="272">
        <v>6</v>
      </c>
      <c r="GZ8" s="272">
        <v>6</v>
      </c>
      <c r="HA8" s="272">
        <v>6</v>
      </c>
      <c r="HB8" s="272">
        <v>6</v>
      </c>
      <c r="HC8" s="272">
        <v>6</v>
      </c>
      <c r="HD8" s="272">
        <v>6</v>
      </c>
      <c r="HE8" s="272">
        <v>6</v>
      </c>
      <c r="HF8" s="272">
        <v>6</v>
      </c>
      <c r="HG8" s="272">
        <v>6</v>
      </c>
      <c r="HH8" s="272">
        <v>6</v>
      </c>
      <c r="HI8" s="272">
        <v>6</v>
      </c>
      <c r="HJ8" s="272">
        <v>6</v>
      </c>
      <c r="HK8" s="272">
        <v>6</v>
      </c>
      <c r="HL8" s="272">
        <v>6</v>
      </c>
      <c r="HM8" s="272">
        <v>6</v>
      </c>
      <c r="HN8" s="272">
        <v>6</v>
      </c>
      <c r="HO8" s="272">
        <v>6</v>
      </c>
      <c r="HP8" s="272">
        <v>6</v>
      </c>
      <c r="HQ8" s="272">
        <v>6</v>
      </c>
      <c r="HR8" s="272">
        <v>6</v>
      </c>
      <c r="HS8" s="272">
        <v>6</v>
      </c>
      <c r="HT8" s="272">
        <v>6</v>
      </c>
      <c r="HU8" s="272">
        <v>6</v>
      </c>
      <c r="HV8" s="272">
        <v>6</v>
      </c>
      <c r="HW8" s="272">
        <v>6</v>
      </c>
      <c r="HX8" s="272">
        <v>6</v>
      </c>
      <c r="HY8" s="272">
        <v>6</v>
      </c>
      <c r="HZ8" s="272">
        <v>6</v>
      </c>
      <c r="IA8" s="272">
        <v>6</v>
      </c>
      <c r="IB8" s="272">
        <v>6</v>
      </c>
      <c r="IC8" s="272">
        <v>6</v>
      </c>
      <c r="ID8" s="272">
        <v>6</v>
      </c>
      <c r="IE8" s="272">
        <v>6</v>
      </c>
      <c r="IF8" s="272">
        <v>6</v>
      </c>
      <c r="IG8" s="272">
        <v>6</v>
      </c>
      <c r="IH8" s="272">
        <v>6</v>
      </c>
      <c r="II8" s="272">
        <v>6</v>
      </c>
      <c r="IJ8" s="272">
        <v>6</v>
      </c>
      <c r="IK8" s="272">
        <v>6</v>
      </c>
      <c r="IL8" s="272">
        <v>6</v>
      </c>
      <c r="IM8" s="272">
        <v>6</v>
      </c>
      <c r="IN8" s="272">
        <v>6</v>
      </c>
      <c r="IO8" s="272">
        <v>6</v>
      </c>
      <c r="IP8" s="272">
        <v>6</v>
      </c>
      <c r="IQ8" s="272">
        <v>6</v>
      </c>
      <c r="IR8" s="272">
        <v>6</v>
      </c>
      <c r="IS8" s="272">
        <v>6</v>
      </c>
      <c r="IT8" s="272">
        <v>6</v>
      </c>
      <c r="IU8" s="272">
        <v>6</v>
      </c>
      <c r="IV8" s="272">
        <v>6</v>
      </c>
    </row>
    <row r="9" spans="1:256" x14ac:dyDescent="0.15">
      <c r="A9" s="9" t="s">
        <v>696</v>
      </c>
      <c r="B9" s="24" t="s">
        <v>696</v>
      </c>
      <c r="C9" s="24" t="s">
        <v>696</v>
      </c>
      <c r="D9" s="24" t="s">
        <v>696</v>
      </c>
      <c r="E9" s="24" t="s">
        <v>696</v>
      </c>
      <c r="F9" s="24" t="s">
        <v>696</v>
      </c>
      <c r="G9" s="24" t="s">
        <v>696</v>
      </c>
      <c r="H9" s="24" t="s">
        <v>696</v>
      </c>
    </row>
    <row r="10" spans="1:256" x14ac:dyDescent="0.15">
      <c r="A10" s="13" t="s">
        <v>78</v>
      </c>
      <c r="B10" s="302">
        <f>IRR(B8:IS8)</f>
        <v>0.18003460677684546</v>
      </c>
    </row>
    <row r="11" spans="1:256" x14ac:dyDescent="0.15">
      <c r="A11" s="9" t="s">
        <v>696</v>
      </c>
      <c r="B11" s="25" t="s">
        <v>696</v>
      </c>
    </row>
    <row r="13" spans="1:256" x14ac:dyDescent="0.15">
      <c r="A13" s="32" t="s">
        <v>974</v>
      </c>
    </row>
    <row r="14" spans="1:256" ht="15" x14ac:dyDescent="0.15">
      <c r="A14" s="322" t="s">
        <v>79</v>
      </c>
      <c r="B14" s="24">
        <v>1000</v>
      </c>
    </row>
    <row r="15" spans="1:256" ht="15" x14ac:dyDescent="0.15">
      <c r="A15" s="322" t="s">
        <v>80</v>
      </c>
      <c r="B15" s="24">
        <v>1037.9000000000001</v>
      </c>
    </row>
    <row r="16" spans="1:256" ht="15" x14ac:dyDescent="0.15">
      <c r="A16" s="322" t="s">
        <v>81</v>
      </c>
      <c r="B16" s="164">
        <v>0.11</v>
      </c>
    </row>
    <row r="18" spans="1:7" x14ac:dyDescent="0.15">
      <c r="A18" s="293" t="s">
        <v>77</v>
      </c>
    </row>
    <row r="19" spans="1:7" ht="15" x14ac:dyDescent="0.15">
      <c r="A19" s="322" t="s">
        <v>856</v>
      </c>
      <c r="B19" s="9">
        <v>0</v>
      </c>
      <c r="C19" s="9">
        <v>1</v>
      </c>
      <c r="D19" s="9">
        <v>2</v>
      </c>
      <c r="E19" s="9">
        <v>3</v>
      </c>
      <c r="F19" s="9">
        <v>4</v>
      </c>
      <c r="G19" s="9">
        <v>5</v>
      </c>
    </row>
    <row r="20" spans="1:7" x14ac:dyDescent="0.15">
      <c r="A20" s="9" t="s">
        <v>1104</v>
      </c>
      <c r="B20" s="24">
        <f>-B15</f>
        <v>-1037.9000000000001</v>
      </c>
      <c r="C20" s="24">
        <v>110</v>
      </c>
      <c r="D20" s="9">
        <v>110</v>
      </c>
      <c r="E20" s="9">
        <v>110</v>
      </c>
      <c r="F20" s="9">
        <v>110</v>
      </c>
      <c r="G20" s="9">
        <v>1110</v>
      </c>
    </row>
    <row r="21" spans="1:7" x14ac:dyDescent="0.15">
      <c r="A21" s="9" t="s">
        <v>532</v>
      </c>
      <c r="B21" s="24" t="s">
        <v>696</v>
      </c>
      <c r="C21" s="24" t="s">
        <v>696</v>
      </c>
    </row>
    <row r="22" spans="1:7" ht="15" x14ac:dyDescent="0.15">
      <c r="A22" s="329" t="s">
        <v>834</v>
      </c>
      <c r="B22" s="214">
        <f>IRR(B20:G20)</f>
        <v>0.10000202377975009</v>
      </c>
    </row>
    <row r="23" spans="1:7" ht="15" x14ac:dyDescent="0.15">
      <c r="A23" s="322" t="s">
        <v>696</v>
      </c>
      <c r="B23" s="24" t="s">
        <v>696</v>
      </c>
    </row>
    <row r="25" spans="1:7" x14ac:dyDescent="0.15">
      <c r="A25" s="32" t="s">
        <v>984</v>
      </c>
    </row>
    <row r="26" spans="1:7" ht="15" x14ac:dyDescent="0.15">
      <c r="A26" s="322" t="s">
        <v>82</v>
      </c>
      <c r="B26" s="9">
        <v>1000</v>
      </c>
    </row>
    <row r="28" spans="1:7" x14ac:dyDescent="0.15">
      <c r="A28" s="9" t="s">
        <v>83</v>
      </c>
      <c r="B28" s="164">
        <f>B10</f>
        <v>0.18003460677684546</v>
      </c>
    </row>
    <row r="29" spans="1:7" x14ac:dyDescent="0.15">
      <c r="A29" s="9" t="s">
        <v>84</v>
      </c>
      <c r="B29" s="24">
        <f>B26*B2</f>
        <v>30200</v>
      </c>
    </row>
    <row r="30" spans="1:7" x14ac:dyDescent="0.15">
      <c r="A30" s="9" t="s">
        <v>834</v>
      </c>
      <c r="B30" s="164">
        <f>B22</f>
        <v>0.10000202377975009</v>
      </c>
    </row>
    <row r="31" spans="1:7" x14ac:dyDescent="0.15">
      <c r="A31" s="9" t="s">
        <v>836</v>
      </c>
      <c r="B31" s="24">
        <f>B15</f>
        <v>1037.9000000000001</v>
      </c>
    </row>
    <row r="32" spans="1:7" x14ac:dyDescent="0.15">
      <c r="A32" s="9" t="s">
        <v>1282</v>
      </c>
      <c r="B32" s="104">
        <v>0.34</v>
      </c>
    </row>
    <row r="33" spans="1:4" x14ac:dyDescent="0.15">
      <c r="A33" s="13" t="s">
        <v>835</v>
      </c>
      <c r="B33" s="343">
        <f>(B28*B29)/(B29+B31)+(B30*B31*(1-B32))/(B29+B31)</f>
        <v>0.17624577551558182</v>
      </c>
    </row>
    <row r="35" spans="1:4" x14ac:dyDescent="0.15">
      <c r="A35" s="32" t="s">
        <v>470</v>
      </c>
    </row>
    <row r="36" spans="1:4" x14ac:dyDescent="0.15">
      <c r="B36" s="121" t="s">
        <v>860</v>
      </c>
      <c r="C36" s="121" t="s">
        <v>501</v>
      </c>
    </row>
    <row r="37" spans="1:4" ht="15" x14ac:dyDescent="0.15">
      <c r="A37" s="322" t="s">
        <v>85</v>
      </c>
      <c r="B37" s="24">
        <v>10000</v>
      </c>
      <c r="C37" s="24">
        <v>1000</v>
      </c>
    </row>
    <row r="38" spans="1:4" ht="15" x14ac:dyDescent="0.15">
      <c r="A38" s="322" t="s">
        <v>1085</v>
      </c>
      <c r="B38" s="24">
        <v>12000</v>
      </c>
      <c r="C38" s="24">
        <v>1000</v>
      </c>
    </row>
    <row r="39" spans="1:4" ht="15" x14ac:dyDescent="0.15">
      <c r="A39" s="322" t="s">
        <v>86</v>
      </c>
      <c r="B39" s="24">
        <v>1800</v>
      </c>
      <c r="C39" s="24">
        <v>100</v>
      </c>
    </row>
    <row r="41" spans="1:4" x14ac:dyDescent="0.15">
      <c r="A41" s="293" t="s">
        <v>87</v>
      </c>
      <c r="D41" s="13" t="s">
        <v>962</v>
      </c>
    </row>
    <row r="42" spans="1:4" x14ac:dyDescent="0.15">
      <c r="B42" s="164">
        <f>B39/B38</f>
        <v>0.15</v>
      </c>
      <c r="C42" s="164">
        <f>C39/C38</f>
        <v>0.1</v>
      </c>
      <c r="D42" s="163">
        <f>SUM(B39:C39)/SUM(B38:C38)</f>
        <v>0.14615384615384616</v>
      </c>
    </row>
    <row r="44" spans="1:4" x14ac:dyDescent="0.15">
      <c r="A44" s="32" t="s">
        <v>490</v>
      </c>
    </row>
    <row r="45" spans="1:4" x14ac:dyDescent="0.15">
      <c r="A45" s="9" t="s">
        <v>88</v>
      </c>
      <c r="B45" s="9">
        <v>100</v>
      </c>
    </row>
    <row r="46" spans="1:4" x14ac:dyDescent="0.15">
      <c r="A46" s="9" t="s">
        <v>89</v>
      </c>
      <c r="B46" s="9">
        <v>26</v>
      </c>
    </row>
    <row r="47" spans="1:4" x14ac:dyDescent="0.15">
      <c r="A47" s="9" t="s">
        <v>221</v>
      </c>
      <c r="B47" s="104">
        <v>0.5</v>
      </c>
    </row>
    <row r="48" spans="1:4" x14ac:dyDescent="0.15">
      <c r="A48" s="293" t="s">
        <v>90</v>
      </c>
    </row>
    <row r="49" spans="1:4" ht="30" x14ac:dyDescent="0.15">
      <c r="B49" s="107" t="s">
        <v>91</v>
      </c>
      <c r="C49" s="107" t="s">
        <v>92</v>
      </c>
      <c r="D49" s="107" t="s">
        <v>93</v>
      </c>
    </row>
    <row r="50" spans="1:4" x14ac:dyDescent="0.15">
      <c r="A50" s="9" t="s">
        <v>94</v>
      </c>
      <c r="B50" s="104">
        <v>0.6</v>
      </c>
      <c r="C50" s="104">
        <v>0.24</v>
      </c>
      <c r="D50" s="104">
        <v>0.24</v>
      </c>
    </row>
    <row r="51" spans="1:4" x14ac:dyDescent="0.15">
      <c r="A51" s="9" t="s">
        <v>501</v>
      </c>
      <c r="B51" s="104">
        <v>0.4</v>
      </c>
      <c r="C51" s="104">
        <v>0.16</v>
      </c>
      <c r="D51" s="104">
        <v>0.08</v>
      </c>
    </row>
    <row r="52" spans="1:4" x14ac:dyDescent="0.15">
      <c r="B52" s="104"/>
      <c r="C52" s="104"/>
      <c r="D52" s="104"/>
    </row>
    <row r="53" spans="1:4" x14ac:dyDescent="0.15">
      <c r="A53" s="9" t="s">
        <v>94</v>
      </c>
      <c r="B53" s="24"/>
      <c r="C53" s="24">
        <f>B46-C54</f>
        <v>19.600000000000001</v>
      </c>
      <c r="D53" s="24">
        <f>C53*(1-B47)</f>
        <v>9.8000000000000007</v>
      </c>
    </row>
    <row r="54" spans="1:4" x14ac:dyDescent="0.15">
      <c r="A54" s="9" t="s">
        <v>501</v>
      </c>
      <c r="B54" s="24">
        <f>B45*B51</f>
        <v>40</v>
      </c>
      <c r="C54" s="24">
        <f>B54*C51</f>
        <v>6.4</v>
      </c>
      <c r="D54" s="24">
        <f>C54</f>
        <v>6.4</v>
      </c>
    </row>
    <row r="55" spans="1:4" x14ac:dyDescent="0.15">
      <c r="A55" s="9" t="s">
        <v>1104</v>
      </c>
      <c r="B55" s="104"/>
      <c r="C55" s="24">
        <f>SUM(C53:C54)</f>
        <v>26</v>
      </c>
      <c r="D55" s="24">
        <f>SUM(D53:D54)</f>
        <v>16.200000000000003</v>
      </c>
    </row>
    <row r="57" spans="1:4" x14ac:dyDescent="0.15">
      <c r="A57" s="293" t="s">
        <v>1127</v>
      </c>
    </row>
    <row r="58" spans="1:4" x14ac:dyDescent="0.15">
      <c r="A58" s="9" t="s">
        <v>856</v>
      </c>
      <c r="B58" s="9">
        <v>0</v>
      </c>
      <c r="C58" s="9">
        <v>0</v>
      </c>
    </row>
    <row r="59" spans="1:4" x14ac:dyDescent="0.15">
      <c r="A59" s="9" t="s">
        <v>95</v>
      </c>
      <c r="B59" s="24">
        <f>-B$45</f>
        <v>-100</v>
      </c>
      <c r="C59" s="24">
        <f>SUM($C53:$C54)/B60</f>
        <v>125</v>
      </c>
    </row>
    <row r="60" spans="1:4" x14ac:dyDescent="0.15">
      <c r="A60" s="13" t="s">
        <v>556</v>
      </c>
      <c r="B60" s="302">
        <f>B50*C50+B51*C51</f>
        <v>0.20799999999999999</v>
      </c>
      <c r="C60" s="336"/>
    </row>
    <row r="61" spans="1:4" x14ac:dyDescent="0.15">
      <c r="A61" s="13" t="s">
        <v>96</v>
      </c>
      <c r="B61" s="170">
        <f>SUMPRODUCT(B59:C59,POWER(1+B60,-B58:C58))</f>
        <v>25</v>
      </c>
      <c r="C61" s="336"/>
    </row>
    <row r="62" spans="1:4" x14ac:dyDescent="0.15">
      <c r="C62" s="336"/>
    </row>
    <row r="63" spans="1:4" x14ac:dyDescent="0.15">
      <c r="A63" s="9" t="s">
        <v>97</v>
      </c>
      <c r="B63" s="24">
        <f>-B$45</f>
        <v>-100</v>
      </c>
      <c r="C63" s="24">
        <f>B46*(1-B47)/B64</f>
        <v>73.863636363636374</v>
      </c>
    </row>
    <row r="64" spans="1:4" x14ac:dyDescent="0.15">
      <c r="A64" s="13" t="s">
        <v>556</v>
      </c>
      <c r="B64" s="302">
        <f>B50*D50+B51*D51</f>
        <v>0.17599999999999999</v>
      </c>
    </row>
    <row r="65" spans="1:4" x14ac:dyDescent="0.15">
      <c r="A65" s="13" t="s">
        <v>98</v>
      </c>
      <c r="B65" s="170">
        <f>B63+C63</f>
        <v>-26.136363636363626</v>
      </c>
    </row>
    <row r="67" spans="1:4" x14ac:dyDescent="0.15">
      <c r="A67" s="32" t="s">
        <v>99</v>
      </c>
    </row>
    <row r="68" spans="1:4" ht="45" x14ac:dyDescent="0.15">
      <c r="A68" s="29"/>
      <c r="B68" s="258" t="s">
        <v>103</v>
      </c>
      <c r="C68" s="258" t="s">
        <v>104</v>
      </c>
      <c r="D68" s="258" t="s">
        <v>105</v>
      </c>
    </row>
    <row r="69" spans="1:4" ht="15" x14ac:dyDescent="0.15">
      <c r="A69" s="322" t="s">
        <v>100</v>
      </c>
      <c r="B69" s="24">
        <v>2160</v>
      </c>
      <c r="C69" s="24">
        <v>18500</v>
      </c>
      <c r="D69" s="24">
        <v>632</v>
      </c>
    </row>
    <row r="70" spans="1:4" ht="15" x14ac:dyDescent="0.15">
      <c r="A70" s="322" t="s">
        <v>94</v>
      </c>
      <c r="B70" s="24">
        <v>1580</v>
      </c>
      <c r="C70" s="24">
        <v>10512</v>
      </c>
      <c r="D70" s="24">
        <v>824</v>
      </c>
    </row>
    <row r="71" spans="1:4" ht="15" x14ac:dyDescent="0.15">
      <c r="A71" s="337" t="s">
        <v>501</v>
      </c>
      <c r="B71" s="312">
        <v>812</v>
      </c>
      <c r="C71" s="312">
        <v>-12</v>
      </c>
      <c r="D71" s="312">
        <v>1356</v>
      </c>
    </row>
    <row r="72" spans="1:4" ht="15" x14ac:dyDescent="0.15">
      <c r="A72" s="322" t="s">
        <v>227</v>
      </c>
      <c r="B72" s="24">
        <v>22210</v>
      </c>
      <c r="C72" s="24">
        <v>23724</v>
      </c>
      <c r="D72" s="24">
        <v>701</v>
      </c>
    </row>
    <row r="73" spans="1:4" ht="15" x14ac:dyDescent="0.15">
      <c r="A73" s="322" t="s">
        <v>346</v>
      </c>
      <c r="B73" s="24">
        <v>405</v>
      </c>
      <c r="C73" s="24">
        <v>1625</v>
      </c>
      <c r="D73" s="24">
        <v>82</v>
      </c>
    </row>
    <row r="74" spans="1:4" ht="15" x14ac:dyDescent="0.15">
      <c r="A74" s="337" t="s">
        <v>251</v>
      </c>
      <c r="B74" s="312">
        <v>226</v>
      </c>
      <c r="C74" s="312">
        <v>1057</v>
      </c>
      <c r="D74" s="312">
        <v>-24</v>
      </c>
    </row>
    <row r="75" spans="1:4" ht="15" x14ac:dyDescent="0.15">
      <c r="A75" s="322" t="s">
        <v>101</v>
      </c>
      <c r="B75" s="9">
        <v>0.8</v>
      </c>
      <c r="C75" s="9">
        <v>0.5</v>
      </c>
      <c r="D75" s="9">
        <v>1.2</v>
      </c>
    </row>
    <row r="76" spans="1:4" ht="15" x14ac:dyDescent="0.15">
      <c r="A76" s="337" t="s">
        <v>102</v>
      </c>
      <c r="B76" s="29">
        <v>0.1</v>
      </c>
      <c r="C76" s="29">
        <v>0</v>
      </c>
      <c r="D76" s="29">
        <v>0.3</v>
      </c>
    </row>
    <row r="77" spans="1:4" ht="15" x14ac:dyDescent="0.15">
      <c r="A77" s="322" t="s">
        <v>221</v>
      </c>
      <c r="B77" s="104">
        <v>0.35</v>
      </c>
      <c r="C77" s="104">
        <v>0.35</v>
      </c>
      <c r="D77" s="104">
        <v>0.35</v>
      </c>
    </row>
    <row r="79" spans="1:4" ht="15" x14ac:dyDescent="0.15">
      <c r="A79" s="322" t="s">
        <v>106</v>
      </c>
      <c r="B79" s="162">
        <v>6.5000000000000002E-2</v>
      </c>
    </row>
    <row r="80" spans="1:4" ht="15" x14ac:dyDescent="0.15">
      <c r="A80" s="322" t="s">
        <v>861</v>
      </c>
      <c r="B80" s="162">
        <v>0.11</v>
      </c>
    </row>
    <row r="82" spans="1:5" ht="15" x14ac:dyDescent="0.15">
      <c r="A82" s="29"/>
      <c r="B82" s="29"/>
      <c r="C82" s="29"/>
      <c r="D82" s="29"/>
      <c r="E82" s="256" t="s">
        <v>107</v>
      </c>
    </row>
    <row r="83" spans="1:5" x14ac:dyDescent="0.15">
      <c r="A83" s="9" t="s">
        <v>78</v>
      </c>
      <c r="B83" s="202">
        <f>$B79+B75*($B80-$B79)</f>
        <v>0.10100000000000001</v>
      </c>
      <c r="C83" s="202">
        <f>$B79+C75*($B80-$B79)</f>
        <v>8.7499999999999994E-2</v>
      </c>
      <c r="D83" s="202">
        <f>$B79+D75*($B80-$B79)</f>
        <v>0.11899999999999999</v>
      </c>
      <c r="E83" s="338">
        <f>SUMPRODUCT(B83:D83,B69:D69)/SUM(B69:D69)</f>
        <v>8.9804527522074032E-2</v>
      </c>
    </row>
    <row r="84" spans="1:5" x14ac:dyDescent="0.15">
      <c r="A84" s="9" t="s">
        <v>834</v>
      </c>
      <c r="B84" s="202">
        <f>($B79+B76*($B80-$B79))*(1-B77)</f>
        <v>4.5175000000000007E-2</v>
      </c>
      <c r="C84" s="202">
        <f>($B79+C76*($B80-$B79))*(1-C77)</f>
        <v>4.2250000000000003E-2</v>
      </c>
      <c r="D84" s="202">
        <f>($B79+D76*($B80-$B79))*(1-D77)</f>
        <v>5.1025000000000001E-2</v>
      </c>
      <c r="E84" s="339">
        <f>SUMPRODUCT(B84:D84,B71:D71)/SUM(B71:D71)</f>
        <v>4.887059369202227E-2</v>
      </c>
    </row>
    <row r="85" spans="1:5" x14ac:dyDescent="0.15">
      <c r="A85" s="13" t="s">
        <v>556</v>
      </c>
      <c r="B85" s="202">
        <f>(B83*B69+B84*B71)/(B69+B71)</f>
        <v>8.5747678331090177E-2</v>
      </c>
      <c r="C85" s="202">
        <f>(C83*C69+C84*C71)/(C69+C71)</f>
        <v>8.7529370402423187E-2</v>
      </c>
      <c r="D85" s="202">
        <f>(D83*D69+D84*D71)/(D69+D71)</f>
        <v>7.263475855130784E-2</v>
      </c>
      <c r="E85" s="340">
        <f>SUMPRODUCT(B85:D85,B69:D69+B71:D71)/SUM(B69:D69,B71:D71)</f>
        <v>8.6040728420334361E-2</v>
      </c>
    </row>
    <row r="90" spans="1:5" x14ac:dyDescent="0.15">
      <c r="A90" s="341"/>
    </row>
    <row r="91" spans="1:5" x14ac:dyDescent="0.15">
      <c r="A91" s="327"/>
      <c r="B91" s="202"/>
      <c r="C91" s="202"/>
      <c r="D91" s="202"/>
    </row>
    <row r="93" spans="1:5" x14ac:dyDescent="0.15">
      <c r="A93" s="327"/>
    </row>
    <row r="94" spans="1:5" x14ac:dyDescent="0.15">
      <c r="A94" s="342"/>
      <c r="B94" s="214"/>
    </row>
  </sheetData>
  <phoneticPr fontId="4" type="noConversion"/>
  <pageMargins left="0.7" right="0.7" top="0.75" bottom="0.75" header="0.3" footer="0.3"/>
  <pageSetup paperSize="9" scale="10" fitToHeight="0" orientation="portrait" r:id="rId1"/>
  <drawing r:id="rId2"/>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15"/>
  <sheetViews>
    <sheetView showGridLines="0" workbookViewId="0">
      <selection activeCell="C20" sqref="C20"/>
    </sheetView>
  </sheetViews>
  <sheetFormatPr baseColWidth="10" defaultColWidth="10.6640625" defaultRowHeight="14" x14ac:dyDescent="0.15"/>
  <cols>
    <col min="1" max="1" width="31.5" style="9" customWidth="1"/>
    <col min="2" max="16384" width="10.6640625" style="9"/>
  </cols>
  <sheetData>
    <row r="1" spans="1:8" x14ac:dyDescent="0.15">
      <c r="A1" s="32" t="s">
        <v>352</v>
      </c>
    </row>
    <row r="2" spans="1:8" ht="15" x14ac:dyDescent="0.15">
      <c r="A2" s="322" t="s">
        <v>559</v>
      </c>
      <c r="B2" s="344">
        <v>-2.5</v>
      </c>
    </row>
    <row r="3" spans="1:8" ht="15" x14ac:dyDescent="0.15">
      <c r="A3" s="322" t="s">
        <v>560</v>
      </c>
      <c r="B3" s="344">
        <v>5</v>
      </c>
    </row>
    <row r="4" spans="1:8" x14ac:dyDescent="0.15">
      <c r="A4" s="322"/>
      <c r="B4" s="344"/>
    </row>
    <row r="5" spans="1:8" ht="15" x14ac:dyDescent="0.15">
      <c r="A5" s="322" t="s">
        <v>51</v>
      </c>
      <c r="B5" s="344"/>
      <c r="C5" s="9">
        <v>0</v>
      </c>
      <c r="D5" s="9">
        <f>C5+1</f>
        <v>1</v>
      </c>
      <c r="E5" s="9">
        <f>D5+1</f>
        <v>2</v>
      </c>
      <c r="F5" s="9">
        <f>E5+1</f>
        <v>3</v>
      </c>
      <c r="G5" s="9">
        <f>F5+1</f>
        <v>4</v>
      </c>
      <c r="H5" s="9">
        <f>G5+1</f>
        <v>5</v>
      </c>
    </row>
    <row r="6" spans="1:8" ht="15" x14ac:dyDescent="0.15">
      <c r="A6" s="322" t="s">
        <v>966</v>
      </c>
      <c r="B6" s="344"/>
      <c r="C6" s="344">
        <f>B2</f>
        <v>-2.5</v>
      </c>
      <c r="D6" s="344">
        <v>0</v>
      </c>
      <c r="E6" s="344">
        <v>0</v>
      </c>
      <c r="F6" s="344">
        <v>0</v>
      </c>
      <c r="G6" s="344">
        <v>0</v>
      </c>
      <c r="H6" s="344">
        <f>B3</f>
        <v>5</v>
      </c>
    </row>
    <row r="7" spans="1:8" x14ac:dyDescent="0.15">
      <c r="A7" s="322"/>
    </row>
    <row r="8" spans="1:8" ht="15" x14ac:dyDescent="0.15">
      <c r="A8" s="329" t="s">
        <v>1123</v>
      </c>
      <c r="B8" s="214">
        <f>IRR(C6:H6)</f>
        <v>0.14869835499702688</v>
      </c>
      <c r="C8" s="164"/>
    </row>
    <row r="9" spans="1:8" ht="15" x14ac:dyDescent="0.15">
      <c r="A9" s="322" t="s">
        <v>1075</v>
      </c>
      <c r="B9" s="16">
        <f>B2+B3*POWER(1+B8,-5)</f>
        <v>8.8817841970012523E-14</v>
      </c>
    </row>
    <row r="10" spans="1:8" x14ac:dyDescent="0.15">
      <c r="A10" s="322"/>
    </row>
    <row r="11" spans="1:8" ht="15" x14ac:dyDescent="0.15">
      <c r="A11" s="322" t="s">
        <v>560</v>
      </c>
      <c r="B11" s="344">
        <v>5</v>
      </c>
    </row>
    <row r="12" spans="1:8" ht="15" x14ac:dyDescent="0.15">
      <c r="A12" s="322" t="s">
        <v>1123</v>
      </c>
      <c r="B12" s="123">
        <v>0.2</v>
      </c>
    </row>
    <row r="13" spans="1:8" ht="15" x14ac:dyDescent="0.15">
      <c r="A13" s="322" t="s">
        <v>1075</v>
      </c>
      <c r="B13" s="16">
        <f>B15+B11*POWER(1+B12,-5)</f>
        <v>0</v>
      </c>
    </row>
    <row r="14" spans="1:8" x14ac:dyDescent="0.15">
      <c r="A14" s="322"/>
    </row>
    <row r="15" spans="1:8" ht="15.75" customHeight="1" x14ac:dyDescent="0.15">
      <c r="A15" s="329" t="s">
        <v>464</v>
      </c>
      <c r="B15" s="345">
        <v>-2.0093878600823043</v>
      </c>
      <c r="C15" s="13" t="s">
        <v>853</v>
      </c>
      <c r="D15" s="9" t="s">
        <v>1353</v>
      </c>
    </row>
  </sheetData>
  <phoneticPr fontId="4" type="noConversion"/>
  <pageMargins left="0.7" right="0.7" top="0.75" bottom="0.75" header="0.3" footer="0.3"/>
  <pageSetup paperSize="9" scale="72" fitToHeight="0" orientation="portrait" r:id="rId1"/>
  <drawing r:id="rId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83"/>
  <sheetViews>
    <sheetView showGridLines="0" workbookViewId="0">
      <selection activeCell="C20" sqref="C20"/>
    </sheetView>
  </sheetViews>
  <sheetFormatPr baseColWidth="10" defaultColWidth="10.6640625" defaultRowHeight="14" x14ac:dyDescent="0.15"/>
  <cols>
    <col min="1" max="1" width="26" style="9" bestFit="1" customWidth="1"/>
    <col min="2" max="6" width="10.6640625" style="9"/>
    <col min="7" max="7" width="16.83203125" style="9" customWidth="1"/>
    <col min="8" max="16384" width="10.6640625" style="9"/>
  </cols>
  <sheetData>
    <row r="1" spans="1:8" x14ac:dyDescent="0.15">
      <c r="A1" s="32" t="s">
        <v>652</v>
      </c>
    </row>
    <row r="2" spans="1:8" s="12" customFormat="1" x14ac:dyDescent="0.15"/>
    <row r="3" spans="1:8" x14ac:dyDescent="0.15">
      <c r="A3" s="9" t="s">
        <v>818</v>
      </c>
      <c r="B3" s="9">
        <v>120</v>
      </c>
      <c r="C3" s="9">
        <v>120</v>
      </c>
      <c r="D3" s="307"/>
      <c r="E3" s="307"/>
      <c r="F3" s="307"/>
      <c r="G3" s="307"/>
      <c r="H3" s="307"/>
    </row>
    <row r="5" spans="1:8" x14ac:dyDescent="0.15">
      <c r="A5" s="9" t="s">
        <v>636</v>
      </c>
      <c r="B5" s="9">
        <v>21</v>
      </c>
      <c r="C5" s="9">
        <v>14</v>
      </c>
    </row>
    <row r="6" spans="1:8" x14ac:dyDescent="0.15">
      <c r="A6" s="9" t="s">
        <v>127</v>
      </c>
      <c r="B6" s="476">
        <v>30</v>
      </c>
      <c r="C6" s="476"/>
    </row>
    <row r="7" spans="1:8" x14ac:dyDescent="0.15">
      <c r="A7" s="9" t="s">
        <v>171</v>
      </c>
      <c r="B7" s="9">
        <f>+B5*B6</f>
        <v>630</v>
      </c>
      <c r="C7" s="9">
        <f>+C5*B6</f>
        <v>420</v>
      </c>
    </row>
    <row r="8" spans="1:8" x14ac:dyDescent="0.15">
      <c r="A8" s="9" t="s">
        <v>637</v>
      </c>
      <c r="B8" s="9">
        <v>5</v>
      </c>
      <c r="C8" s="9">
        <v>5</v>
      </c>
    </row>
    <row r="10" spans="1:8" x14ac:dyDescent="0.15">
      <c r="A10" s="9" t="s">
        <v>1028</v>
      </c>
      <c r="B10" s="104">
        <v>0.25</v>
      </c>
      <c r="C10" s="104">
        <v>0.25</v>
      </c>
    </row>
    <row r="12" spans="1:8" x14ac:dyDescent="0.15">
      <c r="A12" s="13" t="s">
        <v>1023</v>
      </c>
      <c r="B12" s="224">
        <f>-B3+(B7)*POWER(1+B10,-B8)</f>
        <v>86.43840000000003</v>
      </c>
      <c r="C12" s="224">
        <f>-C3+(C7)*POWER(1+C10,-C8)</f>
        <v>17.62560000000002</v>
      </c>
    </row>
    <row r="15" spans="1:8" x14ac:dyDescent="0.15">
      <c r="A15" s="32" t="s">
        <v>653</v>
      </c>
    </row>
    <row r="16" spans="1:8" x14ac:dyDescent="0.15">
      <c r="A16" s="9" t="s">
        <v>638</v>
      </c>
      <c r="B16" s="240">
        <v>1</v>
      </c>
      <c r="C16" s="240">
        <v>2</v>
      </c>
      <c r="D16" s="240">
        <v>3</v>
      </c>
      <c r="E16" s="240">
        <v>4</v>
      </c>
      <c r="F16" s="240">
        <v>5</v>
      </c>
      <c r="G16" s="240"/>
    </row>
    <row r="17" spans="1:6" x14ac:dyDescent="0.15">
      <c r="A17" s="9" t="s">
        <v>227</v>
      </c>
      <c r="B17" s="346">
        <v>3960</v>
      </c>
      <c r="C17" s="346">
        <v>4080</v>
      </c>
      <c r="D17" s="346">
        <v>4200</v>
      </c>
      <c r="E17" s="346">
        <v>4326</v>
      </c>
      <c r="F17" s="346">
        <v>4458</v>
      </c>
    </row>
    <row r="18" spans="1:6" x14ac:dyDescent="0.15">
      <c r="A18" s="9" t="s">
        <v>480</v>
      </c>
      <c r="B18" s="346">
        <v>1782</v>
      </c>
      <c r="C18" s="346">
        <v>1794</v>
      </c>
      <c r="D18" s="346">
        <v>1806</v>
      </c>
      <c r="E18" s="346">
        <v>1860</v>
      </c>
      <c r="F18" s="346">
        <v>1917</v>
      </c>
    </row>
    <row r="19" spans="1:6" x14ac:dyDescent="0.15">
      <c r="A19" s="9" t="s">
        <v>639</v>
      </c>
      <c r="B19" s="346">
        <v>870</v>
      </c>
      <c r="C19" s="346">
        <v>897</v>
      </c>
      <c r="D19" s="346">
        <v>924</v>
      </c>
      <c r="E19" s="346">
        <v>996</v>
      </c>
      <c r="F19" s="346">
        <v>1026</v>
      </c>
    </row>
    <row r="20" spans="1:6" x14ac:dyDescent="0.15">
      <c r="A20" s="9" t="s">
        <v>322</v>
      </c>
      <c r="B20" s="346">
        <v>396</v>
      </c>
      <c r="C20" s="346">
        <v>408</v>
      </c>
      <c r="D20" s="346">
        <v>420</v>
      </c>
      <c r="E20" s="346">
        <v>432</v>
      </c>
      <c r="F20" s="346">
        <v>447</v>
      </c>
    </row>
    <row r="21" spans="1:6" x14ac:dyDescent="0.15">
      <c r="A21" s="9" t="s">
        <v>177</v>
      </c>
      <c r="B21" s="346">
        <v>912</v>
      </c>
      <c r="C21" s="346">
        <v>981</v>
      </c>
      <c r="D21" s="346">
        <v>1050</v>
      </c>
      <c r="E21" s="346">
        <v>1038</v>
      </c>
      <c r="F21" s="346">
        <v>1068</v>
      </c>
    </row>
    <row r="22" spans="1:6" x14ac:dyDescent="0.15">
      <c r="A22" s="9" t="s">
        <v>178</v>
      </c>
      <c r="B22" s="346">
        <v>330</v>
      </c>
      <c r="C22" s="346">
        <v>315</v>
      </c>
      <c r="D22" s="346">
        <v>300</v>
      </c>
      <c r="E22" s="346">
        <v>300</v>
      </c>
      <c r="F22" s="346">
        <v>300</v>
      </c>
    </row>
    <row r="23" spans="1:6" x14ac:dyDescent="0.15">
      <c r="A23" s="9" t="s">
        <v>982</v>
      </c>
      <c r="B23" s="346">
        <f>B21-B22</f>
        <v>582</v>
      </c>
      <c r="C23" s="346">
        <f>C21-C22</f>
        <v>666</v>
      </c>
      <c r="D23" s="346">
        <f>D21-D22</f>
        <v>750</v>
      </c>
      <c r="E23" s="346">
        <f>E21-E22</f>
        <v>738</v>
      </c>
      <c r="F23" s="346">
        <f>F21-F22</f>
        <v>768</v>
      </c>
    </row>
    <row r="24" spans="1:6" x14ac:dyDescent="0.15">
      <c r="B24" s="346"/>
      <c r="C24" s="346"/>
      <c r="D24" s="346"/>
      <c r="E24" s="346"/>
      <c r="F24" s="346"/>
    </row>
    <row r="25" spans="1:6" x14ac:dyDescent="0.15">
      <c r="A25" s="9" t="s">
        <v>28</v>
      </c>
      <c r="B25" s="346">
        <v>300</v>
      </c>
      <c r="C25" s="346">
        <v>300</v>
      </c>
      <c r="D25" s="346">
        <v>300</v>
      </c>
      <c r="E25" s="346">
        <v>300</v>
      </c>
      <c r="F25" s="346">
        <v>300</v>
      </c>
    </row>
    <row r="26" spans="1:6" ht="15" x14ac:dyDescent="0.15">
      <c r="A26" s="12" t="s">
        <v>640</v>
      </c>
      <c r="B26" s="31">
        <v>50</v>
      </c>
      <c r="C26" s="31">
        <v>50</v>
      </c>
      <c r="D26" s="31"/>
      <c r="E26" s="31"/>
      <c r="F26" s="31"/>
    </row>
    <row r="27" spans="1:6" x14ac:dyDescent="0.15">
      <c r="A27" s="12"/>
    </row>
    <row r="28" spans="1:6" ht="15" x14ac:dyDescent="0.15">
      <c r="A28" s="12" t="s">
        <v>641</v>
      </c>
    </row>
    <row r="29" spans="1:6" ht="15" x14ac:dyDescent="0.15">
      <c r="A29" s="12" t="s">
        <v>94</v>
      </c>
      <c r="B29" s="104">
        <f>2/3</f>
        <v>0.66666666666666663</v>
      </c>
    </row>
    <row r="30" spans="1:6" ht="15" x14ac:dyDescent="0.15">
      <c r="A30" s="12" t="s">
        <v>501</v>
      </c>
      <c r="B30" s="104">
        <f>1-B29</f>
        <v>0.33333333333333337</v>
      </c>
    </row>
    <row r="31" spans="1:6" x14ac:dyDescent="0.15">
      <c r="A31" s="9" t="s">
        <v>78</v>
      </c>
      <c r="B31" s="104">
        <v>0.1</v>
      </c>
      <c r="C31" s="104"/>
      <c r="D31" s="104"/>
      <c r="E31" s="104"/>
      <c r="F31" s="104"/>
    </row>
    <row r="32" spans="1:6" x14ac:dyDescent="0.15">
      <c r="A32" s="9" t="s">
        <v>834</v>
      </c>
      <c r="B32" s="104">
        <v>0.06</v>
      </c>
      <c r="C32" s="104"/>
      <c r="D32" s="104"/>
      <c r="E32" s="104"/>
      <c r="F32" s="104"/>
    </row>
    <row r="33" spans="1:7" x14ac:dyDescent="0.15">
      <c r="A33" s="13" t="s">
        <v>835</v>
      </c>
      <c r="B33" s="302">
        <f>B31*B29+B32*(1-B35)*B30</f>
        <v>7.9266666666666666E-2</v>
      </c>
      <c r="C33" s="162"/>
      <c r="D33" s="162"/>
      <c r="E33" s="162"/>
      <c r="F33" s="162"/>
    </row>
    <row r="35" spans="1:7" x14ac:dyDescent="0.15">
      <c r="A35" s="9" t="s">
        <v>221</v>
      </c>
      <c r="B35" s="104">
        <v>0.37</v>
      </c>
      <c r="C35" s="104"/>
      <c r="D35" s="104"/>
      <c r="E35" s="104"/>
      <c r="F35" s="104"/>
    </row>
    <row r="36" spans="1:7" x14ac:dyDescent="0.15">
      <c r="A36" s="9" t="s">
        <v>642</v>
      </c>
      <c r="B36" s="104">
        <v>0.02</v>
      </c>
    </row>
    <row r="37" spans="1:7" x14ac:dyDescent="0.15">
      <c r="B37" s="104"/>
    </row>
    <row r="38" spans="1:7" x14ac:dyDescent="0.15">
      <c r="B38" s="240">
        <v>1</v>
      </c>
      <c r="C38" s="240">
        <v>2</v>
      </c>
      <c r="D38" s="240">
        <v>3</v>
      </c>
      <c r="E38" s="240">
        <v>4</v>
      </c>
      <c r="F38" s="240">
        <v>5</v>
      </c>
      <c r="G38" s="240" t="s">
        <v>643</v>
      </c>
    </row>
    <row r="39" spans="1:7" x14ac:dyDescent="0.15">
      <c r="B39" s="162"/>
      <c r="C39" s="162"/>
      <c r="D39" s="162"/>
      <c r="E39" s="162"/>
      <c r="F39" s="162"/>
    </row>
    <row r="40" spans="1:7" x14ac:dyDescent="0.15">
      <c r="A40" s="9" t="s">
        <v>177</v>
      </c>
      <c r="B40" s="346">
        <f>B21</f>
        <v>912</v>
      </c>
      <c r="C40" s="346">
        <f>C21</f>
        <v>981</v>
      </c>
      <c r="D40" s="346">
        <f>D21</f>
        <v>1050</v>
      </c>
      <c r="E40" s="346">
        <f>E21</f>
        <v>1038</v>
      </c>
      <c r="F40" s="346">
        <f>F21</f>
        <v>1068</v>
      </c>
    </row>
    <row r="41" spans="1:7" x14ac:dyDescent="0.15">
      <c r="A41" s="28" t="s">
        <v>293</v>
      </c>
      <c r="B41" s="346">
        <f>$B$35*B23</f>
        <v>215.34</v>
      </c>
      <c r="C41" s="346">
        <f>$B$35*C23</f>
        <v>246.42</v>
      </c>
      <c r="D41" s="346">
        <f>$B$35*D23</f>
        <v>277.5</v>
      </c>
      <c r="E41" s="346">
        <f>$B$35*E23</f>
        <v>273.06</v>
      </c>
      <c r="F41" s="346">
        <f>$B$35*F23</f>
        <v>284.15999999999997</v>
      </c>
    </row>
    <row r="42" spans="1:7" x14ac:dyDescent="0.15">
      <c r="A42" s="28" t="s">
        <v>645</v>
      </c>
      <c r="B42" s="346">
        <f t="shared" ref="B42:F43" si="0">B25</f>
        <v>300</v>
      </c>
      <c r="C42" s="346">
        <f t="shared" si="0"/>
        <v>300</v>
      </c>
      <c r="D42" s="346">
        <f t="shared" si="0"/>
        <v>300</v>
      </c>
      <c r="E42" s="346">
        <f t="shared" si="0"/>
        <v>300</v>
      </c>
      <c r="F42" s="346">
        <f t="shared" si="0"/>
        <v>300</v>
      </c>
    </row>
    <row r="43" spans="1:7" ht="15" x14ac:dyDescent="0.15">
      <c r="A43" s="88" t="s">
        <v>644</v>
      </c>
      <c r="B43" s="346">
        <f t="shared" si="0"/>
        <v>50</v>
      </c>
      <c r="C43" s="346">
        <f t="shared" si="0"/>
        <v>50</v>
      </c>
      <c r="D43" s="346">
        <f t="shared" si="0"/>
        <v>0</v>
      </c>
      <c r="E43" s="346">
        <f t="shared" si="0"/>
        <v>0</v>
      </c>
      <c r="F43" s="346">
        <f t="shared" si="0"/>
        <v>0</v>
      </c>
    </row>
    <row r="44" spans="1:7" x14ac:dyDescent="0.15">
      <c r="B44" s="29"/>
      <c r="C44" s="29"/>
      <c r="D44" s="29"/>
      <c r="E44" s="29"/>
      <c r="F44" s="29"/>
      <c r="G44" s="29"/>
    </row>
    <row r="45" spans="1:7" x14ac:dyDescent="0.15">
      <c r="A45" s="9" t="s">
        <v>646</v>
      </c>
      <c r="B45" s="31">
        <f>B40-B41-B42-B43</f>
        <v>346.65999999999997</v>
      </c>
      <c r="C45" s="31">
        <f>C40-C41-C42-C43</f>
        <v>384.58000000000004</v>
      </c>
      <c r="D45" s="31">
        <f>D40-D41-D42-D43</f>
        <v>472.5</v>
      </c>
      <c r="E45" s="31">
        <f>E40-E41-E42-E43</f>
        <v>464.94000000000005</v>
      </c>
      <c r="F45" s="31">
        <f>F40-F41-F42-F43</f>
        <v>483.84000000000003</v>
      </c>
      <c r="G45" s="31">
        <f>F45*(1+B36)</f>
        <v>493.51680000000005</v>
      </c>
    </row>
    <row r="46" spans="1:7" x14ac:dyDescent="0.15">
      <c r="A46" s="9" t="s">
        <v>647</v>
      </c>
      <c r="B46" s="15"/>
      <c r="C46" s="15"/>
      <c r="D46" s="15"/>
      <c r="E46" s="15"/>
      <c r="F46" s="346">
        <f>G45/(B33-B36)</f>
        <v>8327.0551181102383</v>
      </c>
      <c r="G46" s="15"/>
    </row>
    <row r="47" spans="1:7" x14ac:dyDescent="0.15">
      <c r="B47" s="15"/>
      <c r="C47" s="15"/>
      <c r="D47" s="15"/>
      <c r="E47" s="15"/>
      <c r="F47" s="15"/>
      <c r="G47" s="15"/>
    </row>
    <row r="48" spans="1:7" x14ac:dyDescent="0.15">
      <c r="A48" s="9" t="s">
        <v>1011</v>
      </c>
      <c r="B48" s="15"/>
      <c r="C48" s="15"/>
      <c r="D48" s="15"/>
      <c r="E48" s="15"/>
      <c r="F48" s="15"/>
      <c r="G48" s="15"/>
    </row>
    <row r="49" spans="1:6" x14ac:dyDescent="0.15">
      <c r="A49" s="28" t="s">
        <v>650</v>
      </c>
      <c r="B49" s="31">
        <f>B45*POWER(1+$B$33,-B38)</f>
        <v>321.1995799617024</v>
      </c>
      <c r="C49" s="31">
        <f>C45*POWER(1+$B$33,-C38)</f>
        <v>330.16358158315376</v>
      </c>
      <c r="D49" s="31">
        <f>D45*POWER(1+$B$33,-D38)</f>
        <v>375.85083620660959</v>
      </c>
      <c r="E49" s="31">
        <f>E45*POWER(1+$B$33,-E38)</f>
        <v>342.6745532404446</v>
      </c>
      <c r="F49" s="31">
        <f>F45*POWER(1+$B$33,-F38)</f>
        <v>330.4136263465324</v>
      </c>
    </row>
    <row r="50" spans="1:6" x14ac:dyDescent="0.15">
      <c r="A50" s="28" t="s">
        <v>648</v>
      </c>
      <c r="B50" s="346">
        <f>F46*POWER(1+B33,-F38)</f>
        <v>5686.5337267738432</v>
      </c>
      <c r="C50" s="15"/>
      <c r="D50" s="15"/>
      <c r="E50" s="15"/>
      <c r="F50" s="15"/>
    </row>
    <row r="51" spans="1:6" x14ac:dyDescent="0.15">
      <c r="B51" s="346"/>
      <c r="C51" s="15"/>
      <c r="D51" s="15"/>
      <c r="E51" s="15"/>
      <c r="F51" s="15"/>
    </row>
    <row r="52" spans="1:6" x14ac:dyDescent="0.15">
      <c r="A52" s="13" t="s">
        <v>649</v>
      </c>
      <c r="B52" s="347">
        <f>SUM(B49:F49)+B50</f>
        <v>7386.8359041122858</v>
      </c>
      <c r="C52" s="307"/>
    </row>
    <row r="53" spans="1:6" x14ac:dyDescent="0.15">
      <c r="A53" s="9" t="s">
        <v>505</v>
      </c>
      <c r="B53" s="346">
        <v>2250</v>
      </c>
      <c r="C53" s="307"/>
    </row>
    <row r="54" spans="1:6" x14ac:dyDescent="0.15">
      <c r="A54" s="13" t="s">
        <v>878</v>
      </c>
      <c r="B54" s="347">
        <f>B52-B53</f>
        <v>5136.8359041122858</v>
      </c>
      <c r="C54" s="307"/>
    </row>
    <row r="55" spans="1:6" x14ac:dyDescent="0.15">
      <c r="B55" s="346"/>
    </row>
    <row r="56" spans="1:6" x14ac:dyDescent="0.15">
      <c r="A56" s="32" t="s">
        <v>651</v>
      </c>
      <c r="B56" s="346"/>
    </row>
    <row r="57" spans="1:6" x14ac:dyDescent="0.15">
      <c r="B57" s="346"/>
    </row>
    <row r="58" spans="1:6" x14ac:dyDescent="0.15">
      <c r="A58" s="9" t="s">
        <v>654</v>
      </c>
      <c r="B58" s="346">
        <v>10</v>
      </c>
    </row>
    <row r="59" spans="1:6" x14ac:dyDescent="0.15">
      <c r="A59" s="9" t="s">
        <v>655</v>
      </c>
      <c r="B59" s="346">
        <v>15</v>
      </c>
    </row>
    <row r="60" spans="1:6" x14ac:dyDescent="0.15">
      <c r="B60" s="346"/>
    </row>
    <row r="61" spans="1:6" x14ac:dyDescent="0.15">
      <c r="A61" s="9" t="s">
        <v>1283</v>
      </c>
      <c r="B61" s="346">
        <v>100</v>
      </c>
    </row>
    <row r="62" spans="1:6" x14ac:dyDescent="0.15">
      <c r="A62" s="9" t="s">
        <v>1284</v>
      </c>
      <c r="B62" s="346">
        <v>60</v>
      </c>
    </row>
    <row r="63" spans="1:6" x14ac:dyDescent="0.15">
      <c r="A63" s="9" t="s">
        <v>1285</v>
      </c>
      <c r="B63" s="346">
        <v>32</v>
      </c>
    </row>
    <row r="65" spans="1:3" x14ac:dyDescent="0.15">
      <c r="A65" s="13" t="s">
        <v>649</v>
      </c>
      <c r="B65" s="13">
        <f>B58*B62</f>
        <v>600</v>
      </c>
    </row>
    <row r="66" spans="1:3" x14ac:dyDescent="0.15">
      <c r="A66" s="13" t="s">
        <v>836</v>
      </c>
      <c r="B66" s="13">
        <f>B61</f>
        <v>100</v>
      </c>
    </row>
    <row r="67" spans="1:3" x14ac:dyDescent="0.15">
      <c r="A67" s="13" t="s">
        <v>1286</v>
      </c>
      <c r="B67" s="13">
        <f>B65-B66</f>
        <v>500</v>
      </c>
    </row>
    <row r="68" spans="1:3" x14ac:dyDescent="0.15">
      <c r="A68" s="13"/>
      <c r="B68" s="13"/>
    </row>
    <row r="69" spans="1:3" x14ac:dyDescent="0.15">
      <c r="A69" s="13" t="s">
        <v>1287</v>
      </c>
      <c r="B69" s="13">
        <f>B59*B63</f>
        <v>480</v>
      </c>
    </row>
    <row r="71" spans="1:3" x14ac:dyDescent="0.15">
      <c r="A71" s="32" t="s">
        <v>1175</v>
      </c>
    </row>
    <row r="73" spans="1:3" x14ac:dyDescent="0.15">
      <c r="B73" s="121" t="s">
        <v>1176</v>
      </c>
    </row>
    <row r="74" spans="1:3" x14ac:dyDescent="0.15">
      <c r="A74" s="9" t="s">
        <v>1354</v>
      </c>
      <c r="B74" s="9">
        <v>14</v>
      </c>
    </row>
    <row r="75" spans="1:3" x14ac:dyDescent="0.15">
      <c r="A75" s="9" t="s">
        <v>1355</v>
      </c>
      <c r="B75" s="9">
        <v>14.7</v>
      </c>
    </row>
    <row r="77" spans="1:3" x14ac:dyDescent="0.15">
      <c r="A77" s="9" t="s">
        <v>1179</v>
      </c>
    </row>
    <row r="78" spans="1:3" x14ac:dyDescent="0.15">
      <c r="A78" s="9" t="s">
        <v>1178</v>
      </c>
      <c r="B78" s="164">
        <v>0.30499999999999999</v>
      </c>
      <c r="C78" s="9" t="s">
        <v>1177</v>
      </c>
    </row>
    <row r="79" spans="1:3" x14ac:dyDescent="0.15">
      <c r="A79" s="9" t="s">
        <v>1090</v>
      </c>
      <c r="B79" s="9">
        <v>93</v>
      </c>
    </row>
    <row r="81" spans="1:2" x14ac:dyDescent="0.15">
      <c r="A81" s="9" t="s">
        <v>1356</v>
      </c>
      <c r="B81" s="9">
        <v>14</v>
      </c>
    </row>
    <row r="83" spans="1:2" x14ac:dyDescent="0.15">
      <c r="A83" s="13" t="s">
        <v>1180</v>
      </c>
      <c r="B83" s="224">
        <f>B74*B81+B78*B79-B75</f>
        <v>209.66500000000002</v>
      </c>
    </row>
  </sheetData>
  <mergeCells count="1">
    <mergeCell ref="B6:C6"/>
  </mergeCells>
  <phoneticPr fontId="4" type="noConversion"/>
  <pageMargins left="0.7" right="0.7" top="0.75" bottom="0.75" header="0.3" footer="0.3"/>
  <pageSetup paperSize="9" scale="80" fitToHeight="0" orientation="portrait" r:id="rId1"/>
  <drawing r:id="rId2"/>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31"/>
  <sheetViews>
    <sheetView showGridLines="0" zoomScale="115" zoomScaleNormal="115" zoomScalePageLayoutView="115" workbookViewId="0">
      <selection activeCell="C20" sqref="C20"/>
    </sheetView>
  </sheetViews>
  <sheetFormatPr baseColWidth="10" defaultColWidth="10.6640625" defaultRowHeight="14" x14ac:dyDescent="0.15"/>
  <cols>
    <col min="1" max="1" width="24.33203125" style="9" customWidth="1"/>
    <col min="2" max="4" width="10.6640625" style="9"/>
    <col min="5" max="5" width="12.5" style="9" bestFit="1" customWidth="1"/>
    <col min="6" max="16384" width="10.6640625" style="9"/>
  </cols>
  <sheetData>
    <row r="1" spans="1:3" x14ac:dyDescent="0.15">
      <c r="A1" s="32" t="s">
        <v>352</v>
      </c>
    </row>
    <row r="2" spans="1:3" x14ac:dyDescent="0.15">
      <c r="A2" s="9" t="s">
        <v>862</v>
      </c>
      <c r="B2" s="104">
        <v>0.6</v>
      </c>
    </row>
    <row r="3" spans="1:3" x14ac:dyDescent="0.15">
      <c r="A3" s="9" t="s">
        <v>78</v>
      </c>
      <c r="B3" s="164">
        <v>0.09</v>
      </c>
    </row>
    <row r="4" spans="1:3" x14ac:dyDescent="0.15">
      <c r="A4" s="9" t="s">
        <v>833</v>
      </c>
      <c r="B4" s="104">
        <f>1-B2</f>
        <v>0.4</v>
      </c>
    </row>
    <row r="5" spans="1:3" x14ac:dyDescent="0.15">
      <c r="A5" s="9" t="s">
        <v>834</v>
      </c>
      <c r="B5" s="164">
        <v>0.05</v>
      </c>
    </row>
    <row r="7" spans="1:3" x14ac:dyDescent="0.15">
      <c r="A7" s="13" t="s">
        <v>835</v>
      </c>
      <c r="B7" s="302">
        <f>B2*B3+B4*B5</f>
        <v>7.400000000000001E-2</v>
      </c>
    </row>
    <row r="9" spans="1:3" x14ac:dyDescent="0.15">
      <c r="A9" s="32" t="s">
        <v>974</v>
      </c>
    </row>
    <row r="10" spans="1:3" x14ac:dyDescent="0.15">
      <c r="A10" s="9" t="s">
        <v>333</v>
      </c>
      <c r="B10" s="204" t="s">
        <v>499</v>
      </c>
      <c r="C10" s="204" t="s">
        <v>500</v>
      </c>
    </row>
    <row r="11" spans="1:3" x14ac:dyDescent="0.15">
      <c r="A11" s="9" t="s">
        <v>982</v>
      </c>
      <c r="B11" s="43">
        <v>10000</v>
      </c>
      <c r="C11" s="43">
        <v>10000</v>
      </c>
    </row>
    <row r="12" spans="1:3" x14ac:dyDescent="0.15">
      <c r="A12" s="35" t="s">
        <v>863</v>
      </c>
      <c r="B12" s="43"/>
      <c r="C12" s="43">
        <v>24000</v>
      </c>
    </row>
    <row r="13" spans="1:3" x14ac:dyDescent="0.15">
      <c r="A13" s="35" t="s">
        <v>834</v>
      </c>
      <c r="B13" s="477">
        <v>0.05</v>
      </c>
      <c r="C13" s="477"/>
    </row>
    <row r="14" spans="1:3" x14ac:dyDescent="0.15">
      <c r="A14" s="9" t="s">
        <v>361</v>
      </c>
      <c r="B14" s="43">
        <f>B12*B13</f>
        <v>0</v>
      </c>
      <c r="C14" s="43">
        <f>C12*B13</f>
        <v>1200</v>
      </c>
    </row>
    <row r="15" spans="1:3" x14ac:dyDescent="0.15">
      <c r="A15" s="9" t="s">
        <v>251</v>
      </c>
      <c r="B15" s="43">
        <f>B11-B14</f>
        <v>10000</v>
      </c>
      <c r="C15" s="43">
        <f>C11-C14</f>
        <v>8800</v>
      </c>
    </row>
    <row r="16" spans="1:3" ht="16" x14ac:dyDescent="0.15">
      <c r="A16" s="9" t="s">
        <v>1357</v>
      </c>
      <c r="B16" s="164">
        <v>0.08</v>
      </c>
      <c r="C16" s="164">
        <v>0.11</v>
      </c>
    </row>
    <row r="17" spans="1:6" ht="16" x14ac:dyDescent="0.15">
      <c r="A17" s="9" t="s">
        <v>1358</v>
      </c>
      <c r="B17" s="43">
        <v>125000</v>
      </c>
      <c r="C17" s="43">
        <v>80000</v>
      </c>
      <c r="E17" s="9">
        <v>1.5</v>
      </c>
      <c r="F17" s="164">
        <f>1-C21</f>
        <v>0.76923076923076916</v>
      </c>
    </row>
    <row r="18" spans="1:6" ht="16" x14ac:dyDescent="0.15">
      <c r="A18" s="9" t="s">
        <v>1359</v>
      </c>
      <c r="B18" s="43">
        <f>B12</f>
        <v>0</v>
      </c>
      <c r="C18" s="43">
        <f>C12</f>
        <v>24000</v>
      </c>
      <c r="D18" s="104">
        <f>C18/C17</f>
        <v>0.3</v>
      </c>
      <c r="E18" s="9">
        <v>0.3</v>
      </c>
      <c r="F18" s="164">
        <f>1-F17</f>
        <v>0.23076923076923084</v>
      </c>
    </row>
    <row r="19" spans="1:6" x14ac:dyDescent="0.15">
      <c r="A19" s="9" t="s">
        <v>816</v>
      </c>
      <c r="B19" s="43">
        <f>B17+B18</f>
        <v>125000</v>
      </c>
      <c r="C19" s="43">
        <f>C17+C18</f>
        <v>104000</v>
      </c>
      <c r="E19" s="15">
        <f>E17*F17+E18*F18</f>
        <v>1.223076923076923</v>
      </c>
    </row>
    <row r="20" spans="1:6" x14ac:dyDescent="0.15">
      <c r="A20" s="9" t="s">
        <v>835</v>
      </c>
      <c r="B20" s="123">
        <f>B16*B17/B19+B13*B18/B19</f>
        <v>0.08</v>
      </c>
      <c r="C20" s="202">
        <f>C16*C17/C19+B13*C18/C19</f>
        <v>9.6153846153846159E-2</v>
      </c>
    </row>
    <row r="21" spans="1:6" ht="16" x14ac:dyDescent="0.15">
      <c r="A21" s="9" t="s">
        <v>1360</v>
      </c>
      <c r="B21" s="123">
        <f>B18/B19</f>
        <v>0</v>
      </c>
      <c r="C21" s="123">
        <f>C18/C19</f>
        <v>0.23076923076923078</v>
      </c>
    </row>
    <row r="22" spans="1:6" x14ac:dyDescent="0.15">
      <c r="A22" s="9" t="s">
        <v>115</v>
      </c>
      <c r="B22" s="164">
        <v>1</v>
      </c>
      <c r="C22" s="164">
        <v>1</v>
      </c>
    </row>
    <row r="24" spans="1:6" x14ac:dyDescent="0.15">
      <c r="A24" s="215" t="s">
        <v>867</v>
      </c>
    </row>
    <row r="25" spans="1:6" x14ac:dyDescent="0.15">
      <c r="A25" s="106" t="s">
        <v>871</v>
      </c>
      <c r="B25" s="348">
        <v>0.01</v>
      </c>
    </row>
    <row r="26" spans="1:6" x14ac:dyDescent="0.15">
      <c r="A26" s="106" t="s">
        <v>866</v>
      </c>
      <c r="B26" s="43">
        <f>B$17*B25</f>
        <v>1250</v>
      </c>
    </row>
    <row r="27" spans="1:6" x14ac:dyDescent="0.15">
      <c r="A27" s="29" t="s">
        <v>1054</v>
      </c>
      <c r="B27" s="95">
        <f>B$15*B25</f>
        <v>100</v>
      </c>
    </row>
    <row r="28" spans="1:6" x14ac:dyDescent="0.15">
      <c r="A28" s="9" t="s">
        <v>875</v>
      </c>
    </row>
    <row r="29" spans="1:6" x14ac:dyDescent="0.15">
      <c r="A29" s="35" t="s">
        <v>864</v>
      </c>
      <c r="B29" s="43">
        <f>B26*B21</f>
        <v>0</v>
      </c>
    </row>
    <row r="30" spans="1:6" ht="16" x14ac:dyDescent="0.15">
      <c r="A30" s="366" t="s">
        <v>1361</v>
      </c>
      <c r="B30" s="367">
        <f>B13</f>
        <v>0.05</v>
      </c>
    </row>
    <row r="31" spans="1:6" x14ac:dyDescent="0.15">
      <c r="A31" s="13" t="s">
        <v>1181</v>
      </c>
      <c r="B31" s="43">
        <f>B27+B29*B30</f>
        <v>100</v>
      </c>
    </row>
    <row r="32" spans="1:6" x14ac:dyDescent="0.15">
      <c r="A32" s="9" t="s">
        <v>835</v>
      </c>
      <c r="B32" s="123">
        <f>B31/B$26</f>
        <v>0.08</v>
      </c>
    </row>
    <row r="34" spans="1:6" x14ac:dyDescent="0.15">
      <c r="A34" s="215" t="s">
        <v>837</v>
      </c>
    </row>
    <row r="35" spans="1:6" x14ac:dyDescent="0.15">
      <c r="A35" s="215"/>
    </row>
    <row r="36" spans="1:6" x14ac:dyDescent="0.15">
      <c r="A36" s="9" t="s">
        <v>869</v>
      </c>
      <c r="B36" s="43">
        <f>B26</f>
        <v>1250</v>
      </c>
    </row>
    <row r="37" spans="1:6" x14ac:dyDescent="0.15">
      <c r="A37" s="9" t="s">
        <v>870</v>
      </c>
      <c r="C37" s="43">
        <f>B36</f>
        <v>1250</v>
      </c>
    </row>
    <row r="38" spans="1:6" x14ac:dyDescent="0.15">
      <c r="C38" s="43"/>
    </row>
    <row r="39" spans="1:6" x14ac:dyDescent="0.15">
      <c r="A39" s="349" t="s">
        <v>882</v>
      </c>
      <c r="B39" s="164"/>
    </row>
    <row r="40" spans="1:6" x14ac:dyDescent="0.15">
      <c r="A40" s="349"/>
      <c r="B40" s="164"/>
    </row>
    <row r="41" spans="1:6" x14ac:dyDescent="0.15">
      <c r="A41" s="350" t="s">
        <v>872</v>
      </c>
      <c r="B41" s="164"/>
    </row>
    <row r="42" spans="1:6" x14ac:dyDescent="0.15">
      <c r="A42" s="9" t="s">
        <v>873</v>
      </c>
      <c r="C42" s="164">
        <f>C21</f>
        <v>0.23076923076923078</v>
      </c>
    </row>
    <row r="43" spans="1:6" x14ac:dyDescent="0.15">
      <c r="A43" s="215"/>
      <c r="C43" s="164"/>
    </row>
    <row r="44" spans="1:6" x14ac:dyDescent="0.15">
      <c r="A44" s="9" t="s">
        <v>874</v>
      </c>
      <c r="C44" s="43">
        <f>C37*(1-C42)</f>
        <v>961.53846153846143</v>
      </c>
      <c r="D44" s="104"/>
      <c r="F44" s="15"/>
    </row>
    <row r="45" spans="1:6" x14ac:dyDescent="0.15">
      <c r="A45" s="9" t="s">
        <v>875</v>
      </c>
      <c r="C45" s="95">
        <f>C37-C44</f>
        <v>288.46153846153857</v>
      </c>
      <c r="D45" s="104"/>
      <c r="F45" s="15"/>
    </row>
    <row r="46" spans="1:6" x14ac:dyDescent="0.15">
      <c r="C46" s="126">
        <f>C44+C45</f>
        <v>1250</v>
      </c>
      <c r="E46" s="15"/>
      <c r="F46" s="15"/>
    </row>
    <row r="47" spans="1:6" x14ac:dyDescent="0.15">
      <c r="C47" s="164"/>
    </row>
    <row r="48" spans="1:6" x14ac:dyDescent="0.15">
      <c r="A48" s="9" t="s">
        <v>880</v>
      </c>
      <c r="C48" s="43">
        <f>C44*C16</f>
        <v>105.76923076923076</v>
      </c>
    </row>
    <row r="49" spans="1:5" x14ac:dyDescent="0.15">
      <c r="A49" s="9" t="s">
        <v>881</v>
      </c>
      <c r="C49" s="95">
        <f>C45*B13</f>
        <v>14.423076923076929</v>
      </c>
    </row>
    <row r="50" spans="1:5" x14ac:dyDescent="0.15">
      <c r="C50" s="43">
        <f>C48+C49</f>
        <v>120.19230769230769</v>
      </c>
    </row>
    <row r="51" spans="1:5" x14ac:dyDescent="0.15">
      <c r="C51" s="164"/>
    </row>
    <row r="52" spans="1:5" x14ac:dyDescent="0.15">
      <c r="A52" s="9" t="s">
        <v>876</v>
      </c>
      <c r="C52" s="351">
        <f>C50/C37</f>
        <v>9.6153846153846159E-2</v>
      </c>
    </row>
    <row r="53" spans="1:5" x14ac:dyDescent="0.15">
      <c r="A53" s="215"/>
      <c r="C53" s="164"/>
    </row>
    <row r="54" spans="1:5" x14ac:dyDescent="0.15">
      <c r="A54" s="26" t="s">
        <v>892</v>
      </c>
      <c r="C54" s="164"/>
    </row>
    <row r="55" spans="1:5" x14ac:dyDescent="0.15">
      <c r="A55" s="215"/>
      <c r="C55" s="164"/>
    </row>
    <row r="56" spans="1:5" x14ac:dyDescent="0.15">
      <c r="A56" s="215" t="s">
        <v>877</v>
      </c>
      <c r="C56" s="164"/>
    </row>
    <row r="57" spans="1:5" x14ac:dyDescent="0.15">
      <c r="A57" s="9" t="s">
        <v>883</v>
      </c>
      <c r="B57" s="9">
        <v>114000</v>
      </c>
      <c r="C57" s="164"/>
    </row>
    <row r="58" spans="1:5" x14ac:dyDescent="0.15">
      <c r="A58" s="215"/>
      <c r="C58" s="164"/>
    </row>
    <row r="59" spans="1:5" x14ac:dyDescent="0.15">
      <c r="A59" s="215"/>
      <c r="B59" s="240" t="s">
        <v>499</v>
      </c>
      <c r="C59" s="352" t="s">
        <v>500</v>
      </c>
    </row>
    <row r="60" spans="1:5" x14ac:dyDescent="0.15">
      <c r="A60" s="9" t="s">
        <v>891</v>
      </c>
      <c r="B60" s="116">
        <f>B57/B15</f>
        <v>11.4</v>
      </c>
      <c r="C60" s="116">
        <f>(B57-C18)/C15</f>
        <v>10.227272727272727</v>
      </c>
    </row>
    <row r="61" spans="1:5" x14ac:dyDescent="0.15">
      <c r="A61" s="215"/>
      <c r="C61" s="164"/>
    </row>
    <row r="62" spans="1:5" x14ac:dyDescent="0.15">
      <c r="A62" s="215"/>
      <c r="C62" s="164"/>
    </row>
    <row r="63" spans="1:5" x14ac:dyDescent="0.15">
      <c r="A63" s="353"/>
      <c r="B63" s="354"/>
      <c r="C63" s="355"/>
      <c r="D63" s="354"/>
      <c r="E63" s="354"/>
    </row>
    <row r="64" spans="1:5" x14ac:dyDescent="0.15">
      <c r="A64" s="356" t="s">
        <v>884</v>
      </c>
      <c r="B64" s="357">
        <f>B57</f>
        <v>114000</v>
      </c>
      <c r="C64" s="357">
        <f>B64</f>
        <v>114000</v>
      </c>
      <c r="D64" s="354"/>
      <c r="E64" s="354"/>
    </row>
    <row r="65" spans="1:5" x14ac:dyDescent="0.15">
      <c r="A65" s="354" t="s">
        <v>836</v>
      </c>
      <c r="B65" s="357">
        <f>B18</f>
        <v>0</v>
      </c>
      <c r="C65" s="357">
        <v>24000</v>
      </c>
      <c r="D65" s="354"/>
      <c r="E65" s="354"/>
    </row>
    <row r="66" spans="1:5" x14ac:dyDescent="0.15">
      <c r="A66" s="354" t="s">
        <v>878</v>
      </c>
      <c r="B66" s="357">
        <f>B64-B65</f>
        <v>114000</v>
      </c>
      <c r="C66" s="357">
        <f>C64-C65</f>
        <v>90000</v>
      </c>
      <c r="D66" s="354"/>
      <c r="E66" s="354"/>
    </row>
    <row r="67" spans="1:5" x14ac:dyDescent="0.15">
      <c r="A67" s="354" t="s">
        <v>879</v>
      </c>
      <c r="B67" s="358">
        <f>B65/B64</f>
        <v>0</v>
      </c>
      <c r="C67" s="358">
        <f>C65/C64</f>
        <v>0.21052631578947367</v>
      </c>
      <c r="D67" s="354"/>
      <c r="E67" s="354"/>
    </row>
    <row r="68" spans="1:5" x14ac:dyDescent="0.15">
      <c r="A68" s="368" t="s">
        <v>78</v>
      </c>
      <c r="B68" s="358">
        <f>B15/B66</f>
        <v>8.771929824561403E-2</v>
      </c>
      <c r="C68" s="358">
        <f>C15/C66</f>
        <v>9.7777777777777783E-2</v>
      </c>
      <c r="D68" s="354"/>
      <c r="E68" s="354"/>
    </row>
    <row r="69" spans="1:5" x14ac:dyDescent="0.15">
      <c r="A69" s="368" t="s">
        <v>834</v>
      </c>
      <c r="B69" s="358"/>
      <c r="C69" s="358">
        <f>C14/C65</f>
        <v>0.05</v>
      </c>
      <c r="D69" s="354"/>
      <c r="E69" s="354"/>
    </row>
    <row r="70" spans="1:5" x14ac:dyDescent="0.15">
      <c r="A70" s="368" t="s">
        <v>835</v>
      </c>
      <c r="B70" s="358">
        <f>(B68*B66+B69*B65)/(B66+B65)</f>
        <v>8.771929824561403E-2</v>
      </c>
      <c r="C70" s="358">
        <f>(C68*C66+C69*C65)/(C66+C65)</f>
        <v>8.771929824561403E-2</v>
      </c>
      <c r="D70" s="354"/>
      <c r="E70" s="354"/>
    </row>
    <row r="71" spans="1:5" x14ac:dyDescent="0.15">
      <c r="A71" s="354"/>
      <c r="B71" s="357"/>
      <c r="C71" s="357"/>
      <c r="D71" s="354"/>
      <c r="E71" s="354"/>
    </row>
    <row r="72" spans="1:5" x14ac:dyDescent="0.15">
      <c r="A72" s="354" t="s">
        <v>885</v>
      </c>
      <c r="B72" s="357">
        <v>1250</v>
      </c>
      <c r="C72" s="357">
        <f>B72</f>
        <v>1250</v>
      </c>
      <c r="D72" s="354"/>
      <c r="E72" s="354"/>
    </row>
    <row r="73" spans="1:5" x14ac:dyDescent="0.15">
      <c r="A73" s="354"/>
      <c r="B73" s="357"/>
      <c r="C73" s="357"/>
      <c r="D73" s="354"/>
      <c r="E73" s="354"/>
    </row>
    <row r="74" spans="1:5" x14ac:dyDescent="0.15">
      <c r="A74" s="359" t="s">
        <v>886</v>
      </c>
      <c r="B74" s="360"/>
      <c r="C74" s="360"/>
      <c r="D74" s="354"/>
      <c r="E74" s="369"/>
    </row>
    <row r="75" spans="1:5" x14ac:dyDescent="0.15">
      <c r="A75" s="361" t="s">
        <v>887</v>
      </c>
      <c r="B75" s="362">
        <f>B76/B66</f>
        <v>1.0964912280701754E-2</v>
      </c>
      <c r="C75" s="362">
        <f>C76/C66</f>
        <v>1.1473429951690822E-2</v>
      </c>
      <c r="D75" s="354"/>
      <c r="E75" s="369" t="s">
        <v>868</v>
      </c>
    </row>
    <row r="76" spans="1:5" x14ac:dyDescent="0.15">
      <c r="A76" s="370" t="s">
        <v>888</v>
      </c>
      <c r="B76" s="357">
        <f>B72</f>
        <v>1250</v>
      </c>
      <c r="C76" s="357">
        <f>C72*D76</f>
        <v>1032.608695652174</v>
      </c>
      <c r="D76" s="358">
        <f>1/(1+C67)</f>
        <v>0.82608695652173914</v>
      </c>
      <c r="E76" s="357">
        <f>C76*C67</f>
        <v>217.39130434782609</v>
      </c>
    </row>
    <row r="77" spans="1:5" x14ac:dyDescent="0.15">
      <c r="A77" s="370" t="s">
        <v>889</v>
      </c>
      <c r="B77" s="371">
        <f>B15*B75</f>
        <v>109.64912280701753</v>
      </c>
      <c r="C77" s="371">
        <f>C15*C75</f>
        <v>100.96618357487924</v>
      </c>
      <c r="D77" s="354"/>
      <c r="E77" s="354"/>
    </row>
    <row r="78" spans="1:5" x14ac:dyDescent="0.15">
      <c r="A78" s="370" t="s">
        <v>835</v>
      </c>
      <c r="B78" s="372">
        <f>B77/B76</f>
        <v>8.771929824561403E-2</v>
      </c>
      <c r="C78" s="372">
        <f>C77/C76</f>
        <v>9.7777777777777783E-2</v>
      </c>
      <c r="D78" s="354"/>
      <c r="E78" s="354"/>
    </row>
    <row r="79" spans="1:5" x14ac:dyDescent="0.15">
      <c r="A79" s="363" t="s">
        <v>1132</v>
      </c>
      <c r="B79" s="363"/>
      <c r="C79" s="363"/>
      <c r="D79" s="354"/>
      <c r="E79" s="354"/>
    </row>
    <row r="80" spans="1:5" x14ac:dyDescent="0.15">
      <c r="A80" s="368" t="s">
        <v>864</v>
      </c>
      <c r="B80" s="354"/>
      <c r="C80" s="357">
        <f>B76-C76</f>
        <v>217.39130434782601</v>
      </c>
      <c r="D80" s="358">
        <f>C80/B76</f>
        <v>0.17391304347826081</v>
      </c>
      <c r="E80" s="354"/>
    </row>
    <row r="81" spans="1:5" x14ac:dyDescent="0.15">
      <c r="A81" s="368" t="s">
        <v>890</v>
      </c>
      <c r="B81" s="354"/>
      <c r="C81" s="357">
        <f>C80*C82</f>
        <v>10.869565217391301</v>
      </c>
      <c r="D81" s="358"/>
      <c r="E81" s="354"/>
    </row>
    <row r="82" spans="1:5" x14ac:dyDescent="0.15">
      <c r="A82" s="373" t="s">
        <v>835</v>
      </c>
      <c r="B82" s="374">
        <f>+B13</f>
        <v>0.05</v>
      </c>
      <c r="C82" s="374">
        <f>B$13</f>
        <v>0.05</v>
      </c>
      <c r="D82" s="354"/>
      <c r="E82" s="354"/>
    </row>
    <row r="83" spans="1:5" x14ac:dyDescent="0.15">
      <c r="A83" s="354" t="s">
        <v>865</v>
      </c>
      <c r="B83" s="357">
        <f>B77+B80*B82</f>
        <v>109.64912280701753</v>
      </c>
      <c r="C83" s="357">
        <f>C77+C80*C82</f>
        <v>111.83574879227054</v>
      </c>
      <c r="D83" s="357">
        <f>C83-B83</f>
        <v>2.1866259852530021</v>
      </c>
      <c r="E83" s="354"/>
    </row>
    <row r="84" spans="1:5" x14ac:dyDescent="0.15">
      <c r="A84" s="354" t="s">
        <v>835</v>
      </c>
      <c r="B84" s="364">
        <f>B83/B76</f>
        <v>8.771929824561403E-2</v>
      </c>
      <c r="C84" s="364">
        <f>C83/(C76+C80)</f>
        <v>8.9468599033816432E-2</v>
      </c>
      <c r="D84" s="354"/>
      <c r="E84" s="354"/>
    </row>
    <row r="85" spans="1:5" x14ac:dyDescent="0.15">
      <c r="A85" s="356" t="s">
        <v>127</v>
      </c>
      <c r="B85" s="365">
        <f>B66/B15</f>
        <v>11.4</v>
      </c>
      <c r="C85" s="365">
        <f>C66/C15</f>
        <v>10.227272727272727</v>
      </c>
      <c r="D85" s="354"/>
      <c r="E85" s="354"/>
    </row>
    <row r="87" spans="1:5" x14ac:dyDescent="0.15">
      <c r="A87" s="32" t="s">
        <v>984</v>
      </c>
    </row>
    <row r="88" spans="1:5" x14ac:dyDescent="0.15">
      <c r="A88" s="32"/>
    </row>
    <row r="89" spans="1:5" x14ac:dyDescent="0.15">
      <c r="A89" s="124" t="s">
        <v>496</v>
      </c>
    </row>
    <row r="90" spans="1:5" x14ac:dyDescent="0.15">
      <c r="A90" s="9" t="s">
        <v>839</v>
      </c>
      <c r="B90" s="123">
        <v>0.08</v>
      </c>
    </row>
    <row r="91" spans="1:5" x14ac:dyDescent="0.15">
      <c r="A91" s="13" t="s">
        <v>893</v>
      </c>
      <c r="B91" s="171">
        <f>B90</f>
        <v>0.08</v>
      </c>
    </row>
    <row r="92" spans="1:5" x14ac:dyDescent="0.15">
      <c r="A92" s="9" t="s">
        <v>894</v>
      </c>
      <c r="B92" s="25">
        <v>100</v>
      </c>
    </row>
    <row r="93" spans="1:5" x14ac:dyDescent="0.15">
      <c r="B93" s="25"/>
    </row>
    <row r="94" spans="1:5" x14ac:dyDescent="0.15">
      <c r="A94" s="9" t="s">
        <v>497</v>
      </c>
    </row>
    <row r="95" spans="1:5" x14ac:dyDescent="0.15">
      <c r="A95" s="9" t="s">
        <v>895</v>
      </c>
      <c r="B95" s="336">
        <f>B92</f>
        <v>100</v>
      </c>
    </row>
    <row r="96" spans="1:5" x14ac:dyDescent="0.15">
      <c r="A96" s="9" t="s">
        <v>840</v>
      </c>
      <c r="B96" s="336">
        <f>B92/3</f>
        <v>33.333333333333336</v>
      </c>
    </row>
    <row r="97" spans="1:2" x14ac:dyDescent="0.15">
      <c r="A97" s="9" t="s">
        <v>838</v>
      </c>
      <c r="B97" s="123">
        <v>0.05</v>
      </c>
    </row>
    <row r="98" spans="1:2" x14ac:dyDescent="0.15">
      <c r="A98" s="9" t="s">
        <v>896</v>
      </c>
      <c r="B98" s="336">
        <f>B95-B96</f>
        <v>66.666666666666657</v>
      </c>
    </row>
    <row r="99" spans="1:2" x14ac:dyDescent="0.15">
      <c r="A99" s="13" t="s">
        <v>897</v>
      </c>
      <c r="B99" s="171">
        <f>(B90-B97*B96/B95)*B95/B98</f>
        <v>9.5000000000000001E-2</v>
      </c>
    </row>
    <row r="100" spans="1:2" x14ac:dyDescent="0.15">
      <c r="A100" s="9" t="s">
        <v>842</v>
      </c>
      <c r="B100" s="123">
        <f>B97*B96/B95+B99*B98/B95</f>
        <v>7.9999999999999988E-2</v>
      </c>
    </row>
    <row r="101" spans="1:2" x14ac:dyDescent="0.15">
      <c r="B101" s="123"/>
    </row>
    <row r="102" spans="1:2" x14ac:dyDescent="0.15">
      <c r="A102" s="9" t="s">
        <v>565</v>
      </c>
    </row>
    <row r="103" spans="1:2" x14ac:dyDescent="0.15">
      <c r="A103" s="9" t="s">
        <v>898</v>
      </c>
      <c r="B103" s="188">
        <v>1.2</v>
      </c>
    </row>
    <row r="104" spans="1:2" x14ac:dyDescent="0.15">
      <c r="A104" s="9" t="s">
        <v>67</v>
      </c>
      <c r="B104" s="104">
        <v>0.04</v>
      </c>
    </row>
    <row r="105" spans="1:2" x14ac:dyDescent="0.15">
      <c r="A105" s="13" t="s">
        <v>899</v>
      </c>
      <c r="B105" s="223">
        <f>(B103*B104+B99-B91)/B104</f>
        <v>1.5750000000000004</v>
      </c>
    </row>
    <row r="107" spans="1:2" x14ac:dyDescent="0.15">
      <c r="A107" s="9" t="s">
        <v>841</v>
      </c>
      <c r="B107" s="188">
        <f>B103</f>
        <v>1.2</v>
      </c>
    </row>
    <row r="108" spans="1:2" x14ac:dyDescent="0.15">
      <c r="A108" s="9" t="s">
        <v>843</v>
      </c>
      <c r="B108" s="188">
        <f>B107</f>
        <v>1.2</v>
      </c>
    </row>
    <row r="109" spans="1:2" x14ac:dyDescent="0.15">
      <c r="A109" s="13" t="s">
        <v>844</v>
      </c>
      <c r="B109" s="223">
        <f>(B108-B105*B98/B95)*B95/B96</f>
        <v>0.44999999999999968</v>
      </c>
    </row>
    <row r="111" spans="1:2" x14ac:dyDescent="0.15">
      <c r="A111" s="32" t="s">
        <v>470</v>
      </c>
    </row>
    <row r="112" spans="1:2" x14ac:dyDescent="0.15">
      <c r="A112" s="9" t="s">
        <v>686</v>
      </c>
      <c r="B112" s="16">
        <v>1.4</v>
      </c>
    </row>
    <row r="113" spans="1:3" x14ac:dyDescent="0.15">
      <c r="A113" s="9" t="s">
        <v>687</v>
      </c>
      <c r="B113" s="16">
        <v>1.1000000000000001</v>
      </c>
    </row>
    <row r="114" spans="1:3" x14ac:dyDescent="0.15">
      <c r="B114" s="16"/>
    </row>
    <row r="115" spans="1:3" x14ac:dyDescent="0.15">
      <c r="A115" s="9" t="s">
        <v>900</v>
      </c>
      <c r="B115" s="164">
        <v>3.5000000000000003E-2</v>
      </c>
    </row>
    <row r="116" spans="1:3" x14ac:dyDescent="0.15">
      <c r="A116" s="9" t="s">
        <v>67</v>
      </c>
      <c r="B116" s="164">
        <v>0.06</v>
      </c>
    </row>
    <row r="117" spans="1:3" x14ac:dyDescent="0.15">
      <c r="B117" s="16"/>
    </row>
    <row r="118" spans="1:3" x14ac:dyDescent="0.15">
      <c r="A118" s="13" t="s">
        <v>901</v>
      </c>
      <c r="B118" s="302">
        <f>B$115+B$116*B112</f>
        <v>0.11899999999999999</v>
      </c>
    </row>
    <row r="119" spans="1:3" x14ac:dyDescent="0.15">
      <c r="A119" s="13" t="s">
        <v>902</v>
      </c>
      <c r="B119" s="302">
        <f>B$115+B$116*B113</f>
        <v>0.10100000000000001</v>
      </c>
    </row>
    <row r="121" spans="1:3" x14ac:dyDescent="0.15">
      <c r="A121" s="9" t="s">
        <v>688</v>
      </c>
      <c r="B121" s="164">
        <v>4.4999999999999998E-2</v>
      </c>
    </row>
    <row r="122" spans="1:3" x14ac:dyDescent="0.15">
      <c r="A122" s="9" t="s">
        <v>903</v>
      </c>
      <c r="B122" s="104">
        <v>1.5</v>
      </c>
    </row>
    <row r="123" spans="1:3" x14ac:dyDescent="0.15">
      <c r="A123" s="9" t="s">
        <v>904</v>
      </c>
      <c r="B123" s="104">
        <f>1/(1+B122)</f>
        <v>0.4</v>
      </c>
    </row>
    <row r="124" spans="1:3" x14ac:dyDescent="0.15">
      <c r="A124" s="9" t="s">
        <v>689</v>
      </c>
      <c r="B124" s="104">
        <f>B122/(B122+1)</f>
        <v>0.6</v>
      </c>
      <c r="C124" s="104"/>
    </row>
    <row r="125" spans="1:3" x14ac:dyDescent="0.15">
      <c r="A125" s="9" t="s">
        <v>690</v>
      </c>
      <c r="B125" s="164">
        <f>B118*B123+B121*B124</f>
        <v>7.46E-2</v>
      </c>
    </row>
    <row r="126" spans="1:3" x14ac:dyDescent="0.15">
      <c r="B126" s="104"/>
    </row>
    <row r="127" spans="1:3" x14ac:dyDescent="0.15">
      <c r="A127" s="9" t="s">
        <v>691</v>
      </c>
      <c r="B127" s="164">
        <f>B125</f>
        <v>7.46E-2</v>
      </c>
      <c r="C127" s="221"/>
    </row>
    <row r="128" spans="1:3" x14ac:dyDescent="0.15">
      <c r="A128" s="9" t="s">
        <v>692</v>
      </c>
      <c r="B128" s="164">
        <v>0.04</v>
      </c>
    </row>
    <row r="129" spans="1:3" x14ac:dyDescent="0.15">
      <c r="A129" s="9" t="s">
        <v>905</v>
      </c>
      <c r="B129" s="104">
        <f>(B127-B128)/(B119-B128)</f>
        <v>0.5672131147540983</v>
      </c>
    </row>
    <row r="130" spans="1:3" x14ac:dyDescent="0.15">
      <c r="A130" s="9" t="s">
        <v>693</v>
      </c>
      <c r="B130" s="104">
        <f>1-B129</f>
        <v>0.4327868852459017</v>
      </c>
    </row>
    <row r="131" spans="1:3" x14ac:dyDescent="0.15">
      <c r="A131" s="9" t="s">
        <v>903</v>
      </c>
      <c r="B131" s="264">
        <f>B130/B129</f>
        <v>0.76300578034682098</v>
      </c>
      <c r="C131" s="307"/>
    </row>
  </sheetData>
  <mergeCells count="1">
    <mergeCell ref="B13:C13"/>
  </mergeCells>
  <phoneticPr fontId="4" type="noConversion"/>
  <pageMargins left="0.7" right="0.7" top="0.75" bottom="0.75" header="0.3" footer="0.3"/>
  <pageSetup paperSize="9" scale="97" fitToHeight="0" orientation="portrait" r:id="rId1"/>
  <drawing r:id="rId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57"/>
  <sheetViews>
    <sheetView showGridLines="0" workbookViewId="0">
      <selection activeCell="C20" sqref="C20"/>
    </sheetView>
  </sheetViews>
  <sheetFormatPr baseColWidth="10" defaultColWidth="10.6640625" defaultRowHeight="14" x14ac:dyDescent="0.15"/>
  <cols>
    <col min="1" max="1" width="21.33203125" style="9" customWidth="1"/>
    <col min="2" max="16384" width="10.6640625" style="9"/>
  </cols>
  <sheetData>
    <row r="1" spans="1:4" x14ac:dyDescent="0.15">
      <c r="A1" s="32" t="s">
        <v>352</v>
      </c>
    </row>
    <row r="2" spans="1:4" x14ac:dyDescent="0.15">
      <c r="A2" s="9" t="s">
        <v>862</v>
      </c>
      <c r="B2" s="104">
        <v>0.7</v>
      </c>
    </row>
    <row r="3" spans="1:4" x14ac:dyDescent="0.15">
      <c r="A3" s="9" t="s">
        <v>78</v>
      </c>
      <c r="B3" s="104">
        <v>0.1</v>
      </c>
    </row>
    <row r="4" spans="1:4" x14ac:dyDescent="0.15">
      <c r="A4" s="9" t="s">
        <v>833</v>
      </c>
      <c r="B4" s="104">
        <f>1-B2</f>
        <v>0.30000000000000004</v>
      </c>
    </row>
    <row r="5" spans="1:4" x14ac:dyDescent="0.15">
      <c r="A5" s="9" t="s">
        <v>834</v>
      </c>
      <c r="B5" s="104">
        <v>0.06</v>
      </c>
    </row>
    <row r="7" spans="1:4" x14ac:dyDescent="0.15">
      <c r="A7" s="9" t="s">
        <v>198</v>
      </c>
      <c r="B7" s="104">
        <v>0.2</v>
      </c>
      <c r="C7" s="104">
        <v>0.5</v>
      </c>
      <c r="D7" s="104">
        <v>0.8</v>
      </c>
    </row>
    <row r="8" spans="1:4" x14ac:dyDescent="0.15">
      <c r="A8" s="13" t="s">
        <v>835</v>
      </c>
      <c r="B8" s="163">
        <f>$B3*$B2+$B5*$B4*(1-B7)</f>
        <v>8.4400000000000003E-2</v>
      </c>
      <c r="C8" s="163">
        <f>$B3*$B2+$B5*$B4*(1-C7)</f>
        <v>7.8999999999999987E-2</v>
      </c>
      <c r="D8" s="163">
        <f>$B3*$B2+$B5*$B4*(1-D7)</f>
        <v>7.3599999999999999E-2</v>
      </c>
    </row>
    <row r="10" spans="1:4" x14ac:dyDescent="0.15">
      <c r="A10" s="32" t="s">
        <v>974</v>
      </c>
    </row>
    <row r="11" spans="1:4" x14ac:dyDescent="0.15">
      <c r="A11" s="9" t="s">
        <v>906</v>
      </c>
      <c r="B11" s="15">
        <v>200</v>
      </c>
    </row>
    <row r="12" spans="1:4" x14ac:dyDescent="0.15">
      <c r="A12" s="9" t="s">
        <v>221</v>
      </c>
      <c r="B12" s="104">
        <v>0.4</v>
      </c>
    </row>
    <row r="14" spans="1:4" x14ac:dyDescent="0.15">
      <c r="A14" s="9" t="s">
        <v>840</v>
      </c>
      <c r="B14" s="15">
        <v>50</v>
      </c>
    </row>
    <row r="15" spans="1:4" x14ac:dyDescent="0.15">
      <c r="A15" s="9" t="s">
        <v>838</v>
      </c>
      <c r="B15" s="104">
        <v>0.06</v>
      </c>
    </row>
    <row r="16" spans="1:4" x14ac:dyDescent="0.15">
      <c r="A16" s="9" t="s">
        <v>896</v>
      </c>
      <c r="B16" s="15">
        <f>B11-B14</f>
        <v>150</v>
      </c>
    </row>
    <row r="17" spans="1:2" x14ac:dyDescent="0.15">
      <c r="A17" s="9" t="s">
        <v>897</v>
      </c>
      <c r="B17" s="104">
        <v>0.11</v>
      </c>
    </row>
    <row r="19" spans="1:2" x14ac:dyDescent="0.15">
      <c r="A19" s="9" t="s">
        <v>908</v>
      </c>
      <c r="B19" s="15">
        <f>B14*B15*B12/B17</f>
        <v>10.90909090909091</v>
      </c>
    </row>
    <row r="20" spans="1:2" x14ac:dyDescent="0.15">
      <c r="B20" s="15"/>
    </row>
    <row r="21" spans="1:2" x14ac:dyDescent="0.15">
      <c r="A21" s="13" t="s">
        <v>907</v>
      </c>
      <c r="B21" s="224">
        <f>B11+B19</f>
        <v>210.90909090909091</v>
      </c>
    </row>
    <row r="23" spans="1:2" x14ac:dyDescent="0.15">
      <c r="A23" s="32" t="s">
        <v>984</v>
      </c>
    </row>
    <row r="24" spans="1:2" x14ac:dyDescent="0.15">
      <c r="A24" s="9" t="s">
        <v>878</v>
      </c>
      <c r="B24" s="16">
        <v>40</v>
      </c>
    </row>
    <row r="25" spans="1:2" x14ac:dyDescent="0.15">
      <c r="A25" s="9" t="s">
        <v>836</v>
      </c>
      <c r="B25" s="16">
        <v>30</v>
      </c>
    </row>
    <row r="26" spans="1:2" x14ac:dyDescent="0.15">
      <c r="A26" s="9" t="s">
        <v>834</v>
      </c>
      <c r="B26" s="104">
        <v>0.06</v>
      </c>
    </row>
    <row r="27" spans="1:2" x14ac:dyDescent="0.15">
      <c r="A27" s="9" t="s">
        <v>221</v>
      </c>
      <c r="B27" s="104">
        <v>0.4</v>
      </c>
    </row>
    <row r="28" spans="1:2" x14ac:dyDescent="0.15">
      <c r="A28" s="9" t="s">
        <v>78</v>
      </c>
      <c r="B28" s="104">
        <v>0.11</v>
      </c>
    </row>
    <row r="30" spans="1:2" x14ac:dyDescent="0.15">
      <c r="A30" s="13" t="s">
        <v>845</v>
      </c>
      <c r="B30" s="224">
        <f>B25*B26*B27/B28</f>
        <v>6.545454545454545</v>
      </c>
    </row>
    <row r="31" spans="1:2" x14ac:dyDescent="0.15">
      <c r="A31" s="13"/>
      <c r="B31" s="223"/>
    </row>
    <row r="32" spans="1:2" ht="15" x14ac:dyDescent="0.15">
      <c r="A32" s="12" t="s">
        <v>909</v>
      </c>
      <c r="B32" s="15">
        <v>5</v>
      </c>
    </row>
    <row r="33" spans="1:6" ht="15" x14ac:dyDescent="0.15">
      <c r="A33" s="10" t="s">
        <v>846</v>
      </c>
      <c r="B33" s="224">
        <f>(B25+B32)*(1+B26*B27/B28)-(B30+B25+B32)</f>
        <v>1.0909090909090935</v>
      </c>
    </row>
    <row r="35" spans="1:6" x14ac:dyDescent="0.15">
      <c r="A35" s="9" t="s">
        <v>908</v>
      </c>
      <c r="B35" s="15">
        <f>(B25+B32)*B26*B27/B28</f>
        <v>7.6363636363636367</v>
      </c>
    </row>
    <row r="36" spans="1:6" ht="30" x14ac:dyDescent="0.15">
      <c r="A36" s="12" t="s">
        <v>910</v>
      </c>
      <c r="B36" s="15">
        <f>B35/POWER(1+B28,4)</f>
        <v>5.0303092571072741</v>
      </c>
    </row>
    <row r="37" spans="1:6" ht="15" x14ac:dyDescent="0.15">
      <c r="A37" s="10" t="s">
        <v>847</v>
      </c>
      <c r="B37" s="224">
        <f>-B36</f>
        <v>-5.0303092571072741</v>
      </c>
    </row>
    <row r="39" spans="1:6" x14ac:dyDescent="0.15">
      <c r="A39" s="32" t="s">
        <v>470</v>
      </c>
    </row>
    <row r="40" spans="1:6" x14ac:dyDescent="0.15">
      <c r="F40" s="243"/>
    </row>
    <row r="41" spans="1:6" x14ac:dyDescent="0.15">
      <c r="B41" s="470" t="s">
        <v>1362</v>
      </c>
      <c r="C41" s="470"/>
      <c r="D41" s="470" t="s">
        <v>1182</v>
      </c>
      <c r="E41" s="470"/>
      <c r="F41" s="106"/>
    </row>
    <row r="42" spans="1:6" x14ac:dyDescent="0.15">
      <c r="A42" s="9" t="s">
        <v>280</v>
      </c>
      <c r="B42" s="9">
        <v>0</v>
      </c>
      <c r="C42" s="9">
        <v>500</v>
      </c>
      <c r="D42" s="9">
        <v>0</v>
      </c>
      <c r="E42" s="9">
        <v>500</v>
      </c>
      <c r="F42" s="106"/>
    </row>
    <row r="43" spans="1:6" x14ac:dyDescent="0.15">
      <c r="B43" s="475">
        <v>7.0000000000000007E-2</v>
      </c>
      <c r="C43" s="475"/>
      <c r="D43" s="475">
        <v>7.0000000000000007E-2</v>
      </c>
      <c r="E43" s="475"/>
      <c r="F43" s="106"/>
    </row>
    <row r="44" spans="1:6" x14ac:dyDescent="0.15">
      <c r="A44" s="9" t="s">
        <v>193</v>
      </c>
      <c r="B44" s="31">
        <v>200</v>
      </c>
      <c r="C44" s="31">
        <f>B44</f>
        <v>200</v>
      </c>
      <c r="D44" s="31">
        <f>C44</f>
        <v>200</v>
      </c>
      <c r="E44" s="31">
        <f>D44</f>
        <v>200</v>
      </c>
      <c r="F44" s="106"/>
    </row>
    <row r="45" spans="1:6" x14ac:dyDescent="0.15">
      <c r="A45" s="9" t="s">
        <v>226</v>
      </c>
      <c r="B45" s="31">
        <f>+B43*B42</f>
        <v>0</v>
      </c>
      <c r="C45" s="31">
        <f>+B43*C42</f>
        <v>35</v>
      </c>
      <c r="D45" s="31">
        <f>+D43*D42</f>
        <v>0</v>
      </c>
      <c r="E45" s="31">
        <f>+D43*E42</f>
        <v>35</v>
      </c>
      <c r="F45" s="106"/>
    </row>
    <row r="46" spans="1:6" x14ac:dyDescent="0.15">
      <c r="A46" s="9" t="s">
        <v>913</v>
      </c>
      <c r="B46" s="31">
        <f>B44-B45</f>
        <v>200</v>
      </c>
      <c r="C46" s="31">
        <f>C44-C45</f>
        <v>165</v>
      </c>
      <c r="D46" s="31">
        <f>D44-D45</f>
        <v>200</v>
      </c>
      <c r="E46" s="31">
        <f>E44-E45</f>
        <v>165</v>
      </c>
      <c r="F46" s="106"/>
    </row>
    <row r="47" spans="1:6" x14ac:dyDescent="0.15">
      <c r="A47" s="9" t="s">
        <v>221</v>
      </c>
      <c r="B47" s="196">
        <v>0.3</v>
      </c>
      <c r="C47" s="196"/>
      <c r="D47" s="196">
        <v>0.3</v>
      </c>
      <c r="E47" s="196"/>
      <c r="F47" s="238"/>
    </row>
    <row r="48" spans="1:6" x14ac:dyDescent="0.15">
      <c r="A48" s="29" t="s">
        <v>965</v>
      </c>
      <c r="B48" s="375">
        <f>B46*B47</f>
        <v>60</v>
      </c>
      <c r="C48" s="375">
        <f>C46*B47</f>
        <v>49.5</v>
      </c>
      <c r="D48" s="375">
        <f>D47*D46</f>
        <v>60</v>
      </c>
      <c r="E48" s="375">
        <f>D47*E46</f>
        <v>49.5</v>
      </c>
      <c r="F48" s="238"/>
    </row>
    <row r="49" spans="1:6" ht="15" x14ac:dyDescent="0.15">
      <c r="A49" s="12" t="s">
        <v>251</v>
      </c>
      <c r="B49" s="31">
        <f>B46-B48</f>
        <v>140</v>
      </c>
      <c r="C49" s="31">
        <f>C46-C48</f>
        <v>115.5</v>
      </c>
      <c r="D49" s="31">
        <f>D46-D48</f>
        <v>140</v>
      </c>
      <c r="E49" s="31">
        <f>E46-E48</f>
        <v>115.5</v>
      </c>
      <c r="F49" s="238"/>
    </row>
    <row r="50" spans="1:6" x14ac:dyDescent="0.15">
      <c r="B50" s="31"/>
      <c r="C50" s="31"/>
      <c r="D50" s="31"/>
      <c r="E50" s="31"/>
      <c r="F50" s="238"/>
    </row>
    <row r="51" spans="1:6" x14ac:dyDescent="0.15">
      <c r="A51" s="9" t="s">
        <v>914</v>
      </c>
      <c r="B51" s="31"/>
      <c r="C51" s="31"/>
      <c r="D51" s="31"/>
      <c r="E51" s="31"/>
      <c r="F51" s="238"/>
    </row>
    <row r="52" spans="1:6" x14ac:dyDescent="0.15">
      <c r="A52" s="9" t="s">
        <v>544</v>
      </c>
      <c r="B52" s="376">
        <v>0.3</v>
      </c>
      <c r="C52" s="376"/>
      <c r="D52" s="196">
        <v>0</v>
      </c>
      <c r="E52" s="196"/>
      <c r="F52" s="238"/>
    </row>
    <row r="53" spans="1:6" x14ac:dyDescent="0.15">
      <c r="A53" s="9" t="s">
        <v>915</v>
      </c>
      <c r="B53" s="31">
        <f>B52*B49</f>
        <v>42</v>
      </c>
      <c r="C53" s="31">
        <f>C49*B52</f>
        <v>34.65</v>
      </c>
      <c r="D53" s="31">
        <f>D52*D49</f>
        <v>0</v>
      </c>
      <c r="E53" s="31">
        <f>D52*E49</f>
        <v>0</v>
      </c>
      <c r="F53" s="238"/>
    </row>
    <row r="54" spans="1:6" x14ac:dyDescent="0.15">
      <c r="A54" s="9" t="s">
        <v>141</v>
      </c>
      <c r="B54" s="376">
        <v>0.3</v>
      </c>
      <c r="C54" s="376"/>
      <c r="D54" s="196">
        <v>0.35</v>
      </c>
      <c r="E54" s="196"/>
      <c r="F54" s="238"/>
    </row>
    <row r="55" spans="1:6" x14ac:dyDescent="0.15">
      <c r="A55" s="9" t="s">
        <v>1068</v>
      </c>
      <c r="B55" s="31">
        <f>B54*B45</f>
        <v>0</v>
      </c>
      <c r="C55" s="31">
        <f>B54*C45</f>
        <v>10.5</v>
      </c>
      <c r="D55" s="31">
        <f>D54*D45</f>
        <v>0</v>
      </c>
      <c r="E55" s="31">
        <f>D54*E45</f>
        <v>12.25</v>
      </c>
      <c r="F55" s="238"/>
    </row>
    <row r="56" spans="1:6" x14ac:dyDescent="0.15">
      <c r="A56" s="9" t="s">
        <v>912</v>
      </c>
      <c r="B56" s="31">
        <f>B45+B49-B53-B55</f>
        <v>98</v>
      </c>
      <c r="C56" s="31">
        <f>C45+C49-C53-C55</f>
        <v>105.35</v>
      </c>
      <c r="D56" s="31">
        <f>D45+D49-D53-D55</f>
        <v>140</v>
      </c>
      <c r="E56" s="31">
        <f>E45+E49-E53-E55</f>
        <v>138.25</v>
      </c>
      <c r="F56" s="106"/>
    </row>
    <row r="57" spans="1:6" x14ac:dyDescent="0.15">
      <c r="A57" s="29" t="s">
        <v>911</v>
      </c>
      <c r="B57" s="375">
        <f>B48+B53+B55</f>
        <v>102</v>
      </c>
      <c r="C57" s="375">
        <f>C48+C53+C55</f>
        <v>94.65</v>
      </c>
      <c r="D57" s="375">
        <f>D48+D53+D55</f>
        <v>60</v>
      </c>
      <c r="E57" s="375">
        <f>E48+E53+E55</f>
        <v>61.75</v>
      </c>
    </row>
  </sheetData>
  <mergeCells count="4">
    <mergeCell ref="B41:C41"/>
    <mergeCell ref="D41:E41"/>
    <mergeCell ref="B43:C43"/>
    <mergeCell ref="D43:E43"/>
  </mergeCells>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107"/>
  <sheetViews>
    <sheetView showGridLines="0" workbookViewId="0">
      <selection activeCell="C20" sqref="C20"/>
    </sheetView>
  </sheetViews>
  <sheetFormatPr baseColWidth="10" defaultColWidth="10.6640625" defaultRowHeight="14" x14ac:dyDescent="0.15"/>
  <cols>
    <col min="1" max="1" width="20.1640625" style="9" customWidth="1"/>
    <col min="2" max="2" width="13.5" style="9" bestFit="1" customWidth="1"/>
    <col min="3" max="16384" width="10.6640625" style="9"/>
  </cols>
  <sheetData>
    <row r="1" spans="1:4" x14ac:dyDescent="0.15">
      <c r="A1" s="32" t="s">
        <v>352</v>
      </c>
    </row>
    <row r="2" spans="1:4" x14ac:dyDescent="0.15">
      <c r="A2" s="293" t="s">
        <v>848</v>
      </c>
    </row>
    <row r="3" spans="1:4" x14ac:dyDescent="0.15">
      <c r="A3" s="9" t="s">
        <v>920</v>
      </c>
      <c r="B3" s="377">
        <v>10000000</v>
      </c>
    </row>
    <row r="4" spans="1:4" x14ac:dyDescent="0.15">
      <c r="A4" s="9" t="s">
        <v>919</v>
      </c>
      <c r="B4" s="377">
        <v>5000</v>
      </c>
    </row>
    <row r="5" spans="1:4" x14ac:dyDescent="0.15">
      <c r="A5" s="9" t="s">
        <v>280</v>
      </c>
      <c r="B5" s="378">
        <v>6000000</v>
      </c>
      <c r="C5" s="377">
        <v>5</v>
      </c>
      <c r="D5" s="9" t="s">
        <v>1099</v>
      </c>
    </row>
    <row r="7" spans="1:4" x14ac:dyDescent="0.15">
      <c r="A7" s="293" t="s">
        <v>916</v>
      </c>
    </row>
    <row r="8" spans="1:4" ht="15" x14ac:dyDescent="0.15">
      <c r="A8" s="107" t="s">
        <v>921</v>
      </c>
      <c r="B8" s="107" t="s">
        <v>922</v>
      </c>
      <c r="C8" s="107" t="s">
        <v>923</v>
      </c>
    </row>
    <row r="9" spans="1:4" x14ac:dyDescent="0.15">
      <c r="A9" s="378">
        <v>1200</v>
      </c>
      <c r="B9" s="378">
        <v>1010</v>
      </c>
      <c r="C9" s="378">
        <v>1085</v>
      </c>
    </row>
    <row r="10" spans="1:4" x14ac:dyDescent="0.15">
      <c r="A10" s="378">
        <v>1600</v>
      </c>
      <c r="B10" s="378">
        <v>731</v>
      </c>
      <c r="C10" s="378">
        <v>832</v>
      </c>
    </row>
    <row r="11" spans="1:4" x14ac:dyDescent="0.15">
      <c r="A11" s="378">
        <v>2000</v>
      </c>
      <c r="B11" s="378">
        <v>510</v>
      </c>
      <c r="C11" s="378">
        <v>627</v>
      </c>
    </row>
    <row r="12" spans="1:4" x14ac:dyDescent="0.15">
      <c r="A12" s="378">
        <v>2400</v>
      </c>
      <c r="B12" s="378">
        <v>348</v>
      </c>
      <c r="C12" s="378">
        <v>468</v>
      </c>
    </row>
    <row r="13" spans="1:4" x14ac:dyDescent="0.15">
      <c r="A13" s="378"/>
      <c r="B13" s="378"/>
      <c r="C13" s="378"/>
    </row>
    <row r="14" spans="1:4" x14ac:dyDescent="0.15">
      <c r="A14" s="293" t="s">
        <v>924</v>
      </c>
    </row>
    <row r="15" spans="1:4" ht="15" x14ac:dyDescent="0.15">
      <c r="A15" s="12" t="s">
        <v>917</v>
      </c>
      <c r="B15" s="44">
        <f>B5/B4</f>
        <v>1200</v>
      </c>
    </row>
    <row r="16" spans="1:4" ht="12" customHeight="1" x14ac:dyDescent="0.15">
      <c r="A16" s="379" t="s">
        <v>918</v>
      </c>
      <c r="B16" s="380">
        <f>B4*B9</f>
        <v>5050000</v>
      </c>
    </row>
    <row r="17" spans="1:2" x14ac:dyDescent="0.15">
      <c r="A17" s="379" t="s">
        <v>849</v>
      </c>
      <c r="B17" s="380">
        <f>B3-B16</f>
        <v>4950000</v>
      </c>
    </row>
    <row r="19" spans="1:2" x14ac:dyDescent="0.15">
      <c r="A19" s="293" t="s">
        <v>925</v>
      </c>
    </row>
    <row r="20" spans="1:2" x14ac:dyDescent="0.15">
      <c r="A20" s="9" t="s">
        <v>927</v>
      </c>
    </row>
    <row r="21" spans="1:2" x14ac:dyDescent="0.15">
      <c r="A21" s="379" t="s">
        <v>918</v>
      </c>
      <c r="B21" s="380">
        <f>C9*B4</f>
        <v>5425000</v>
      </c>
    </row>
    <row r="22" spans="1:2" x14ac:dyDescent="0.15">
      <c r="A22" s="379" t="s">
        <v>849</v>
      </c>
      <c r="B22" s="380">
        <f>B3-B21</f>
        <v>4575000</v>
      </c>
    </row>
    <row r="23" spans="1:2" x14ac:dyDescent="0.15">
      <c r="A23" s="28" t="s">
        <v>929</v>
      </c>
    </row>
    <row r="25" spans="1:2" x14ac:dyDescent="0.15">
      <c r="A25" s="9" t="s">
        <v>928</v>
      </c>
    </row>
    <row r="26" spans="1:2" x14ac:dyDescent="0.15">
      <c r="A26" s="9" t="s">
        <v>926</v>
      </c>
      <c r="B26" s="9">
        <v>1250</v>
      </c>
    </row>
    <row r="27" spans="1:2" ht="15" x14ac:dyDescent="0.15">
      <c r="A27" s="12" t="s">
        <v>917</v>
      </c>
      <c r="B27" s="44">
        <f>B5/(B4-B26)</f>
        <v>1600</v>
      </c>
    </row>
    <row r="28" spans="1:2" x14ac:dyDescent="0.15">
      <c r="A28" s="379" t="s">
        <v>918</v>
      </c>
      <c r="B28" s="380">
        <f>B10*(B4-B26)+B26*B3/B4</f>
        <v>5241250</v>
      </c>
    </row>
    <row r="29" spans="1:2" x14ac:dyDescent="0.15">
      <c r="A29" s="379" t="s">
        <v>849</v>
      </c>
      <c r="B29" s="380">
        <f>B3*(B4-B26)/B4-B28</f>
        <v>2258750</v>
      </c>
    </row>
    <row r="30" spans="1:2" x14ac:dyDescent="0.15">
      <c r="A30" s="28" t="s">
        <v>929</v>
      </c>
    </row>
    <row r="31" spans="1:2" x14ac:dyDescent="0.15">
      <c r="A31" s="28"/>
    </row>
    <row r="32" spans="1:2" x14ac:dyDescent="0.15">
      <c r="A32" s="9" t="s">
        <v>930</v>
      </c>
    </row>
    <row r="33" spans="1:5" x14ac:dyDescent="0.15">
      <c r="A33" s="28" t="s">
        <v>929</v>
      </c>
    </row>
    <row r="34" spans="1:5" x14ac:dyDescent="0.15">
      <c r="A34" s="28"/>
    </row>
    <row r="36" spans="1:5" x14ac:dyDescent="0.15">
      <c r="A36" s="32" t="s">
        <v>974</v>
      </c>
    </row>
    <row r="37" spans="1:5" ht="15" x14ac:dyDescent="0.15">
      <c r="A37" s="12" t="s">
        <v>152</v>
      </c>
      <c r="B37" s="9">
        <v>50</v>
      </c>
    </row>
    <row r="38" spans="1:5" x14ac:dyDescent="0.15">
      <c r="A38" s="13" t="s">
        <v>333</v>
      </c>
      <c r="B38" s="478" t="s">
        <v>498</v>
      </c>
      <c r="C38" s="479"/>
      <c r="D38" s="470" t="s">
        <v>499</v>
      </c>
      <c r="E38" s="470"/>
    </row>
    <row r="39" spans="1:5" x14ac:dyDescent="0.15">
      <c r="A39" s="29"/>
      <c r="B39" s="303" t="s">
        <v>933</v>
      </c>
      <c r="C39" s="395" t="s">
        <v>934</v>
      </c>
      <c r="D39" s="303" t="s">
        <v>933</v>
      </c>
      <c r="E39" s="395" t="s">
        <v>934</v>
      </c>
    </row>
    <row r="40" spans="1:5" x14ac:dyDescent="0.15">
      <c r="A40" s="9" t="s">
        <v>931</v>
      </c>
      <c r="B40" s="190">
        <v>100</v>
      </c>
      <c r="C40" s="251">
        <v>150</v>
      </c>
      <c r="D40" s="9">
        <v>100</v>
      </c>
      <c r="E40" s="394">
        <v>150</v>
      </c>
    </row>
    <row r="41" spans="1:5" x14ac:dyDescent="0.15">
      <c r="A41" s="9" t="s">
        <v>932</v>
      </c>
      <c r="B41" s="381">
        <v>0.1</v>
      </c>
      <c r="C41" s="382">
        <v>0.1</v>
      </c>
      <c r="D41" s="104">
        <v>0.4</v>
      </c>
      <c r="E41" s="382">
        <v>0.4</v>
      </c>
    </row>
    <row r="42" spans="1:5" x14ac:dyDescent="0.15">
      <c r="A42" s="9" t="s">
        <v>878</v>
      </c>
      <c r="B42" s="190">
        <v>7</v>
      </c>
      <c r="C42" s="383">
        <f>C40-C43</f>
        <v>54.900000000000006</v>
      </c>
      <c r="D42" s="9">
        <v>18</v>
      </c>
      <c r="E42" s="383">
        <f>E40-E43</f>
        <v>57.900000000000006</v>
      </c>
    </row>
    <row r="43" spans="1:5" x14ac:dyDescent="0.15">
      <c r="A43" s="9" t="s">
        <v>836</v>
      </c>
      <c r="B43" s="190">
        <v>93</v>
      </c>
      <c r="C43" s="251">
        <v>95.1</v>
      </c>
      <c r="D43" s="9">
        <v>82</v>
      </c>
      <c r="E43" s="251">
        <v>92.1</v>
      </c>
    </row>
    <row r="44" spans="1:5" x14ac:dyDescent="0.15">
      <c r="A44" s="9" t="s">
        <v>834</v>
      </c>
      <c r="B44" s="384">
        <v>7.4999999999999997E-2</v>
      </c>
      <c r="C44" s="235">
        <v>5.1999999999999998E-2</v>
      </c>
      <c r="D44" s="104">
        <v>0.22</v>
      </c>
      <c r="E44" s="235">
        <v>8.5999999999999993E-2</v>
      </c>
    </row>
    <row r="46" spans="1:5" x14ac:dyDescent="0.15">
      <c r="A46" s="379" t="s">
        <v>935</v>
      </c>
      <c r="B46" s="379"/>
      <c r="C46" s="379">
        <f>C42-B42</f>
        <v>47.900000000000006</v>
      </c>
      <c r="D46" s="379"/>
      <c r="E46" s="379">
        <f>E42-D42</f>
        <v>39.900000000000006</v>
      </c>
    </row>
    <row r="47" spans="1:5" x14ac:dyDescent="0.15">
      <c r="A47" s="379" t="s">
        <v>850</v>
      </c>
      <c r="B47" s="379"/>
      <c r="C47" s="379">
        <f>C43-B43</f>
        <v>2.0999999999999943</v>
      </c>
      <c r="D47" s="379"/>
      <c r="E47" s="379">
        <f>E43-D43</f>
        <v>10.099999999999994</v>
      </c>
    </row>
    <row r="49" spans="1:6" x14ac:dyDescent="0.15">
      <c r="A49" s="32" t="s">
        <v>984</v>
      </c>
    </row>
    <row r="50" spans="1:6" x14ac:dyDescent="0.15">
      <c r="A50" s="32"/>
    </row>
    <row r="51" spans="1:6" x14ac:dyDescent="0.15">
      <c r="A51" s="293" t="s">
        <v>851</v>
      </c>
    </row>
    <row r="52" spans="1:6" x14ac:dyDescent="0.15">
      <c r="A52" s="29" t="s">
        <v>945</v>
      </c>
      <c r="B52" s="240" t="s">
        <v>962</v>
      </c>
      <c r="C52" s="240" t="s">
        <v>852</v>
      </c>
      <c r="D52" s="240" t="s">
        <v>936</v>
      </c>
    </row>
    <row r="53" spans="1:6" x14ac:dyDescent="0.15">
      <c r="A53" s="9" t="s">
        <v>944</v>
      </c>
      <c r="B53" s="44">
        <f>C53*D53</f>
        <v>0</v>
      </c>
      <c r="C53" s="378"/>
      <c r="D53" s="385">
        <v>100</v>
      </c>
    </row>
    <row r="54" spans="1:6" x14ac:dyDescent="0.15">
      <c r="A54" s="9" t="s">
        <v>943</v>
      </c>
      <c r="B54" s="44">
        <f>C54*D54</f>
        <v>300000</v>
      </c>
      <c r="C54" s="378">
        <v>300</v>
      </c>
      <c r="D54" s="378">
        <v>1000</v>
      </c>
      <c r="E54" s="377">
        <v>3</v>
      </c>
      <c r="F54" s="9" t="s">
        <v>1099</v>
      </c>
    </row>
    <row r="55" spans="1:6" x14ac:dyDescent="0.15">
      <c r="A55" s="29" t="s">
        <v>269</v>
      </c>
      <c r="B55" s="386"/>
      <c r="C55" s="387"/>
      <c r="D55" s="387"/>
      <c r="E55" s="377"/>
    </row>
    <row r="56" spans="1:6" x14ac:dyDescent="0.15">
      <c r="A56" s="9" t="s">
        <v>942</v>
      </c>
      <c r="B56" s="44">
        <f>C56*D56</f>
        <v>223000</v>
      </c>
      <c r="C56" s="378">
        <v>2230</v>
      </c>
      <c r="D56" s="378">
        <v>100</v>
      </c>
    </row>
    <row r="58" spans="1:6" x14ac:dyDescent="0.15">
      <c r="A58" s="293" t="s">
        <v>946</v>
      </c>
    </row>
    <row r="59" spans="1:6" ht="15" x14ac:dyDescent="0.15">
      <c r="A59" s="107" t="s">
        <v>921</v>
      </c>
      <c r="B59" s="107" t="s">
        <v>937</v>
      </c>
    </row>
    <row r="60" spans="1:6" x14ac:dyDescent="0.15">
      <c r="A60" s="378">
        <v>2600</v>
      </c>
      <c r="B60" s="378">
        <v>130</v>
      </c>
    </row>
    <row r="61" spans="1:6" x14ac:dyDescent="0.15">
      <c r="A61" s="378">
        <v>2800</v>
      </c>
      <c r="B61" s="378">
        <v>80</v>
      </c>
    </row>
    <row r="62" spans="1:6" x14ac:dyDescent="0.15">
      <c r="A62" s="378">
        <v>3000</v>
      </c>
      <c r="B62" s="378">
        <v>45</v>
      </c>
    </row>
    <row r="63" spans="1:6" x14ac:dyDescent="0.15">
      <c r="A63" s="378">
        <v>3200</v>
      </c>
      <c r="B63" s="378">
        <v>31</v>
      </c>
    </row>
    <row r="64" spans="1:6" x14ac:dyDescent="0.15">
      <c r="A64" s="9" t="s">
        <v>496</v>
      </c>
    </row>
    <row r="65" spans="1:4" ht="15" x14ac:dyDescent="0.15">
      <c r="A65" s="12" t="s">
        <v>938</v>
      </c>
      <c r="B65" s="44">
        <f>B54/D53</f>
        <v>3000</v>
      </c>
    </row>
    <row r="66" spans="1:4" x14ac:dyDescent="0.15">
      <c r="A66" s="9" t="s">
        <v>939</v>
      </c>
      <c r="B66" s="44">
        <f>B62*D53</f>
        <v>4500</v>
      </c>
    </row>
    <row r="67" spans="1:4" x14ac:dyDescent="0.15">
      <c r="A67" s="9" t="s">
        <v>940</v>
      </c>
      <c r="B67" s="388">
        <f>B56-B66</f>
        <v>218500</v>
      </c>
    </row>
    <row r="69" spans="1:4" ht="15" x14ac:dyDescent="0.15">
      <c r="A69" s="12" t="s">
        <v>941</v>
      </c>
      <c r="B69" s="378">
        <f>C69*D69</f>
        <v>13380</v>
      </c>
      <c r="C69" s="385">
        <v>2230</v>
      </c>
      <c r="D69" s="385">
        <v>6</v>
      </c>
    </row>
    <row r="70" spans="1:4" x14ac:dyDescent="0.15">
      <c r="A70" s="9" t="s">
        <v>942</v>
      </c>
      <c r="B70" s="44">
        <f>C70*D70</f>
        <v>209620</v>
      </c>
      <c r="C70" s="44">
        <v>2230</v>
      </c>
      <c r="D70" s="44">
        <f>D56-D69</f>
        <v>94</v>
      </c>
    </row>
    <row r="72" spans="1:4" x14ac:dyDescent="0.15">
      <c r="A72" s="9" t="s">
        <v>955</v>
      </c>
    </row>
    <row r="73" spans="1:4" x14ac:dyDescent="0.15">
      <c r="A73" s="9" t="s">
        <v>921</v>
      </c>
      <c r="B73" s="388">
        <f>B54/D70</f>
        <v>3191.4893617021276</v>
      </c>
    </row>
    <row r="74" spans="1:4" x14ac:dyDescent="0.15">
      <c r="A74" s="9" t="s">
        <v>954</v>
      </c>
      <c r="B74" s="336">
        <f>INDEX(LINEST(B62:B63,A62:A63),1)*B73+INDEX(LINEST(B62:B63,A62:A63),2)</f>
        <v>31.595744680851055</v>
      </c>
    </row>
    <row r="75" spans="1:4" x14ac:dyDescent="0.15">
      <c r="A75" s="12"/>
      <c r="B75" s="44"/>
    </row>
    <row r="76" spans="1:4" ht="15" x14ac:dyDescent="0.15">
      <c r="A76" s="12" t="s">
        <v>497</v>
      </c>
      <c r="B76" s="44"/>
    </row>
    <row r="77" spans="1:4" x14ac:dyDescent="0.15">
      <c r="A77" s="379" t="s">
        <v>947</v>
      </c>
      <c r="B77" s="380">
        <f>B74*D70</f>
        <v>2969.9999999999991</v>
      </c>
    </row>
    <row r="78" spans="1:4" x14ac:dyDescent="0.15">
      <c r="A78" s="379" t="s">
        <v>948</v>
      </c>
      <c r="B78" s="380">
        <f>B70-B77</f>
        <v>206650</v>
      </c>
    </row>
    <row r="80" spans="1:4" x14ac:dyDescent="0.15">
      <c r="A80" s="379" t="s">
        <v>935</v>
      </c>
      <c r="B80" s="289">
        <f>B77-B66+B69</f>
        <v>11850</v>
      </c>
    </row>
    <row r="81" spans="1:2" x14ac:dyDescent="0.15">
      <c r="A81" s="379" t="s">
        <v>850</v>
      </c>
      <c r="B81" s="289">
        <f>B78-B67</f>
        <v>-11850</v>
      </c>
    </row>
    <row r="83" spans="1:2" x14ac:dyDescent="0.15">
      <c r="A83" s="389" t="s">
        <v>952</v>
      </c>
      <c r="B83" s="164">
        <f>POWER(B54/B78,1/3)-1</f>
        <v>0.13230114992101738</v>
      </c>
    </row>
    <row r="85" spans="1:2" x14ac:dyDescent="0.15">
      <c r="A85" s="390" t="s">
        <v>1288</v>
      </c>
    </row>
    <row r="87" spans="1:2" x14ac:dyDescent="0.15">
      <c r="A87" s="215" t="s">
        <v>949</v>
      </c>
    </row>
    <row r="89" spans="1:2" x14ac:dyDescent="0.15">
      <c r="A89" s="291" t="s">
        <v>950</v>
      </c>
    </row>
    <row r="90" spans="1:2" x14ac:dyDescent="0.15">
      <c r="A90" s="9" t="s">
        <v>878</v>
      </c>
      <c r="B90" s="388">
        <f>B66</f>
        <v>4500</v>
      </c>
    </row>
    <row r="91" spans="1:2" x14ac:dyDescent="0.15">
      <c r="B91" s="388"/>
    </row>
    <row r="92" spans="1:2" x14ac:dyDescent="0.15">
      <c r="A92" s="291" t="s">
        <v>951</v>
      </c>
    </row>
    <row r="93" spans="1:2" x14ac:dyDescent="0.15">
      <c r="A93" s="9" t="s">
        <v>878</v>
      </c>
      <c r="B93" s="391">
        <f>B77</f>
        <v>2969.9999999999991</v>
      </c>
    </row>
    <row r="94" spans="1:2" x14ac:dyDescent="0.15">
      <c r="A94" s="29" t="s">
        <v>568</v>
      </c>
      <c r="B94" s="392">
        <f>B69</f>
        <v>13380</v>
      </c>
    </row>
    <row r="95" spans="1:2" x14ac:dyDescent="0.15">
      <c r="A95" s="9" t="s">
        <v>962</v>
      </c>
      <c r="B95" s="391">
        <f>B93+B94</f>
        <v>16350</v>
      </c>
    </row>
    <row r="97" spans="1:2" x14ac:dyDescent="0.15">
      <c r="A97" s="13" t="s">
        <v>961</v>
      </c>
      <c r="B97" s="393">
        <f>B95-B90</f>
        <v>11850</v>
      </c>
    </row>
    <row r="99" spans="1:2" x14ac:dyDescent="0.15">
      <c r="A99" s="215" t="s">
        <v>953</v>
      </c>
    </row>
    <row r="101" spans="1:2" x14ac:dyDescent="0.15">
      <c r="A101" s="9" t="s">
        <v>950</v>
      </c>
    </row>
    <row r="102" spans="1:2" x14ac:dyDescent="0.15">
      <c r="A102" s="9" t="s">
        <v>836</v>
      </c>
      <c r="B102" s="388">
        <f>B67</f>
        <v>218500</v>
      </c>
    </row>
    <row r="104" spans="1:2" x14ac:dyDescent="0.15">
      <c r="A104" s="9" t="s">
        <v>951</v>
      </c>
    </row>
    <row r="105" spans="1:2" x14ac:dyDescent="0.15">
      <c r="A105" s="9" t="s">
        <v>836</v>
      </c>
      <c r="B105" s="388">
        <f>B78</f>
        <v>206650</v>
      </c>
    </row>
    <row r="107" spans="1:2" x14ac:dyDescent="0.15">
      <c r="A107" s="13" t="s">
        <v>961</v>
      </c>
      <c r="B107" s="393">
        <f>B105-B102</f>
        <v>-11850</v>
      </c>
    </row>
  </sheetData>
  <mergeCells count="2">
    <mergeCell ref="B38:C38"/>
    <mergeCell ref="D38:E38"/>
  </mergeCells>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20"/>
  <sheetViews>
    <sheetView showGridLines="0" workbookViewId="0">
      <selection activeCell="C20" sqref="C20"/>
    </sheetView>
  </sheetViews>
  <sheetFormatPr baseColWidth="10" defaultColWidth="10.6640625" defaultRowHeight="14" x14ac:dyDescent="0.15"/>
  <cols>
    <col min="1" max="1" width="52.6640625" style="9" bestFit="1" customWidth="1"/>
    <col min="2" max="2" width="15.33203125" style="9" bestFit="1" customWidth="1"/>
    <col min="3" max="5" width="9.5" style="9" bestFit="1" customWidth="1"/>
    <col min="6" max="16384" width="10.6640625" style="9"/>
  </cols>
  <sheetData>
    <row r="1" spans="1:78" x14ac:dyDescent="0.15">
      <c r="A1" s="32" t="s">
        <v>234</v>
      </c>
    </row>
    <row r="2" spans="1:78" ht="15" x14ac:dyDescent="0.15">
      <c r="A2" s="10" t="s">
        <v>51</v>
      </c>
      <c r="B2" s="86" t="s">
        <v>1310</v>
      </c>
      <c r="C2" s="86" t="s">
        <v>1311</v>
      </c>
      <c r="D2" s="86" t="s">
        <v>1312</v>
      </c>
      <c r="E2" s="86" t="s">
        <v>1313</v>
      </c>
    </row>
    <row r="3" spans="1:78" ht="15" x14ac:dyDescent="0.15">
      <c r="A3" s="87" t="s">
        <v>235</v>
      </c>
      <c r="B3" s="95">
        <v>0</v>
      </c>
      <c r="C3" s="95">
        <f>-'Chapter 2'!C20-' Chapter 3'!B75</f>
        <v>24</v>
      </c>
      <c r="D3" s="95">
        <f>C3-' Chapter 3'!C75</f>
        <v>18</v>
      </c>
      <c r="E3" s="95">
        <v>12</v>
      </c>
    </row>
    <row r="4" spans="1:78" ht="15" x14ac:dyDescent="0.15">
      <c r="A4" s="12" t="s">
        <v>236</v>
      </c>
      <c r="B4" s="43">
        <f>B5+B6</f>
        <v>0</v>
      </c>
      <c r="C4" s="43">
        <f>C5+C6</f>
        <v>14</v>
      </c>
      <c r="D4" s="43">
        <f>D5+D6</f>
        <v>14</v>
      </c>
      <c r="E4" s="43">
        <f>E5+E6</f>
        <v>14</v>
      </c>
    </row>
    <row r="5" spans="1:78" ht="15" x14ac:dyDescent="0.15">
      <c r="A5" s="36" t="s">
        <v>205</v>
      </c>
      <c r="B5" s="96">
        <v>0</v>
      </c>
      <c r="C5" s="43">
        <f>' Chapter 3'!B69</f>
        <v>10</v>
      </c>
      <c r="D5" s="43">
        <f>C5</f>
        <v>10</v>
      </c>
      <c r="E5" s="43">
        <f>D5</f>
        <v>10</v>
      </c>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row>
    <row r="6" spans="1:78" ht="15" x14ac:dyDescent="0.15">
      <c r="A6" s="36" t="s">
        <v>190</v>
      </c>
      <c r="B6" s="96">
        <v>0</v>
      </c>
      <c r="C6" s="43">
        <v>4</v>
      </c>
      <c r="D6" s="43">
        <v>4</v>
      </c>
      <c r="E6" s="43">
        <v>4</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row>
    <row r="7" spans="1:78" ht="15" x14ac:dyDescent="0.15">
      <c r="A7" s="88" t="s">
        <v>237</v>
      </c>
      <c r="B7" s="43">
        <v>0</v>
      </c>
      <c r="C7" s="43">
        <v>36</v>
      </c>
      <c r="D7" s="43">
        <f>C7</f>
        <v>36</v>
      </c>
      <c r="E7" s="43">
        <f>D7</f>
        <v>36</v>
      </c>
    </row>
    <row r="8" spans="1:78" ht="15" x14ac:dyDescent="0.15">
      <c r="A8" s="88" t="s">
        <v>238</v>
      </c>
      <c r="B8" s="43">
        <v>0</v>
      </c>
      <c r="C8" s="43">
        <f>SUM('Chapter 2'!L16:N16)+'Chapter 2'!N17</f>
        <v>14</v>
      </c>
      <c r="D8" s="43">
        <f>C8</f>
        <v>14</v>
      </c>
      <c r="E8" s="43">
        <f>D8</f>
        <v>14</v>
      </c>
    </row>
    <row r="9" spans="1:78" ht="15" x14ac:dyDescent="0.15">
      <c r="A9" s="89" t="s">
        <v>240</v>
      </c>
      <c r="B9" s="43">
        <f>B4-B7+B8</f>
        <v>0</v>
      </c>
      <c r="C9" s="43">
        <f>C4+C7-C8</f>
        <v>36</v>
      </c>
      <c r="D9" s="43">
        <f>D4+D7-D8</f>
        <v>36</v>
      </c>
      <c r="E9" s="43">
        <f>E4+E7-E8</f>
        <v>36</v>
      </c>
    </row>
    <row r="10" spans="1:78" ht="15" x14ac:dyDescent="0.15">
      <c r="A10" s="88" t="s">
        <v>241</v>
      </c>
      <c r="B10" s="43">
        <v>0</v>
      </c>
      <c r="C10" s="43">
        <v>0</v>
      </c>
      <c r="D10" s="43">
        <v>0</v>
      </c>
      <c r="E10" s="43">
        <v>0</v>
      </c>
    </row>
    <row r="11" spans="1:78" ht="15" x14ac:dyDescent="0.15">
      <c r="A11" s="90" t="s">
        <v>239</v>
      </c>
      <c r="B11" s="95">
        <f>B9+B10</f>
        <v>0</v>
      </c>
      <c r="C11" s="95">
        <f>C9+C10</f>
        <v>36</v>
      </c>
      <c r="D11" s="95">
        <f>D9+D10</f>
        <v>36</v>
      </c>
      <c r="E11" s="95">
        <f>E9+E10</f>
        <v>36</v>
      </c>
    </row>
    <row r="12" spans="1:78" ht="15" x14ac:dyDescent="0.15">
      <c r="A12" s="91" t="s">
        <v>242</v>
      </c>
      <c r="B12" s="43">
        <f>B3+B11</f>
        <v>0</v>
      </c>
      <c r="C12" s="43">
        <f>C3+C11</f>
        <v>60</v>
      </c>
      <c r="D12" s="43">
        <f>D3+D11</f>
        <v>54</v>
      </c>
      <c r="E12" s="43">
        <f>E3+E11</f>
        <v>48</v>
      </c>
    </row>
    <row r="13" spans="1:78" x14ac:dyDescent="0.15">
      <c r="A13" s="12"/>
      <c r="B13" s="43"/>
      <c r="C13" s="43"/>
      <c r="D13" s="43"/>
      <c r="E13" s="43"/>
    </row>
    <row r="14" spans="1:78" x14ac:dyDescent="0.15">
      <c r="A14" s="13" t="s">
        <v>243</v>
      </c>
      <c r="B14" s="43">
        <v>40</v>
      </c>
      <c r="C14" s="42">
        <f>B14+' Chapter 3'!B80</f>
        <v>54.1</v>
      </c>
      <c r="D14" s="42">
        <f>C14+' Chapter 3'!C80</f>
        <v>70.599999999999994</v>
      </c>
      <c r="E14" s="42">
        <f>D14+' Chapter 3'!D80</f>
        <v>87.5</v>
      </c>
    </row>
    <row r="15" spans="1:78" x14ac:dyDescent="0.15">
      <c r="A15" s="75" t="s">
        <v>316</v>
      </c>
      <c r="B15" s="95">
        <v>0</v>
      </c>
      <c r="C15" s="95"/>
      <c r="D15" s="95"/>
      <c r="E15" s="95"/>
    </row>
    <row r="16" spans="1:78" x14ac:dyDescent="0.15">
      <c r="A16" s="9" t="s">
        <v>249</v>
      </c>
      <c r="B16" s="43">
        <v>0</v>
      </c>
      <c r="C16" s="43">
        <f>-SUM('Chapter 2'!$C37:C37)</f>
        <v>16</v>
      </c>
      <c r="D16" s="43">
        <f>-SUM('Chapter 2'!$C37:D37)</f>
        <v>12</v>
      </c>
      <c r="E16" s="43">
        <f>-SUM('Chapter 2'!$C37:E37)</f>
        <v>8</v>
      </c>
    </row>
    <row r="17" spans="1:5" x14ac:dyDescent="0.15">
      <c r="A17" s="28" t="s">
        <v>248</v>
      </c>
      <c r="B17" s="43">
        <v>0</v>
      </c>
      <c r="C17" s="43">
        <v>0</v>
      </c>
      <c r="D17" s="43">
        <v>0</v>
      </c>
      <c r="E17" s="43">
        <v>0</v>
      </c>
    </row>
    <row r="18" spans="1:5" x14ac:dyDescent="0.15">
      <c r="A18" s="28" t="s">
        <v>247</v>
      </c>
      <c r="B18" s="43">
        <v>40</v>
      </c>
      <c r="C18" s="42">
        <f>B18+'Chapter 2'!C39</f>
        <v>10.100000000000001</v>
      </c>
      <c r="D18" s="42">
        <f>C18+'Chapter 2'!D39</f>
        <v>28.6</v>
      </c>
      <c r="E18" s="42">
        <f>D18+'Chapter 2'!E39</f>
        <v>47.5</v>
      </c>
    </row>
    <row r="19" spans="1:5" x14ac:dyDescent="0.15">
      <c r="A19" s="92" t="s">
        <v>244</v>
      </c>
      <c r="B19" s="95">
        <f>B16-B17-B18</f>
        <v>-40</v>
      </c>
      <c r="C19" s="94">
        <f>C16-C17-C18</f>
        <v>5.8999999999999986</v>
      </c>
      <c r="D19" s="94">
        <f>D16-D17-D18</f>
        <v>-16.600000000000001</v>
      </c>
      <c r="E19" s="94">
        <f>E16-E17-E18</f>
        <v>-39.5</v>
      </c>
    </row>
    <row r="20" spans="1:5" x14ac:dyDescent="0.15">
      <c r="A20" s="93" t="s">
        <v>246</v>
      </c>
      <c r="B20" s="43">
        <f>B14+B19</f>
        <v>0</v>
      </c>
      <c r="C20" s="43">
        <f>C14+C19</f>
        <v>60</v>
      </c>
      <c r="D20" s="43">
        <f>D14+D19</f>
        <v>53.999999999999993</v>
      </c>
      <c r="E20" s="43">
        <f>E14+E19</f>
        <v>48</v>
      </c>
    </row>
  </sheetData>
  <phoneticPr fontId="4" type="noConversion"/>
  <pageMargins left="0.7" right="0.7" top="0.75" bottom="0.75" header="0.3" footer="0.3"/>
  <pageSetup paperSize="9" scale="80" fitToHeight="0" orientation="portrait" r:id="rId1"/>
  <ignoredErrors>
    <ignoredError sqref="C8" formulaRange="1"/>
  </ignoredError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21"/>
  <sheetViews>
    <sheetView showGridLines="0" workbookViewId="0">
      <selection activeCell="C20" sqref="C20"/>
    </sheetView>
  </sheetViews>
  <sheetFormatPr baseColWidth="10" defaultColWidth="10.6640625" defaultRowHeight="14" x14ac:dyDescent="0.15"/>
  <cols>
    <col min="1" max="1" width="22.6640625" style="9" customWidth="1"/>
    <col min="2" max="16384" width="10.6640625" style="9"/>
  </cols>
  <sheetData>
    <row r="1" spans="1:7" x14ac:dyDescent="0.15">
      <c r="A1" s="32" t="s">
        <v>272</v>
      </c>
    </row>
    <row r="2" spans="1:7" s="12" customFormat="1" x14ac:dyDescent="0.15"/>
    <row r="3" spans="1:7" x14ac:dyDescent="0.15">
      <c r="A3" s="9" t="s">
        <v>51</v>
      </c>
      <c r="B3" s="9">
        <v>0</v>
      </c>
      <c r="C3" s="9">
        <v>1</v>
      </c>
      <c r="D3" s="9">
        <v>2</v>
      </c>
      <c r="E3" s="9">
        <v>3</v>
      </c>
      <c r="F3" s="9">
        <v>4</v>
      </c>
      <c r="G3" s="9">
        <v>5</v>
      </c>
    </row>
    <row r="4" spans="1:7" x14ac:dyDescent="0.15">
      <c r="A4" s="9" t="s">
        <v>966</v>
      </c>
      <c r="B4" s="9">
        <v>-100</v>
      </c>
      <c r="C4" s="9">
        <v>-10</v>
      </c>
      <c r="D4" s="9">
        <v>0</v>
      </c>
      <c r="E4" s="9">
        <v>0</v>
      </c>
      <c r="F4" s="9">
        <v>10</v>
      </c>
      <c r="G4" s="9">
        <v>150</v>
      </c>
    </row>
    <row r="6" spans="1:7" x14ac:dyDescent="0.15">
      <c r="A6" s="293" t="s">
        <v>569</v>
      </c>
    </row>
    <row r="7" spans="1:7" x14ac:dyDescent="0.15">
      <c r="A7" s="9" t="s">
        <v>571</v>
      </c>
      <c r="B7" s="104">
        <v>0.3</v>
      </c>
      <c r="C7" s="104">
        <v>0.22</v>
      </c>
      <c r="D7" s="104">
        <v>0.22</v>
      </c>
      <c r="E7" s="104">
        <v>0.22</v>
      </c>
      <c r="F7" s="104">
        <v>0.22</v>
      </c>
      <c r="G7" s="104">
        <v>0.22</v>
      </c>
    </row>
    <row r="8" spans="1:7" x14ac:dyDescent="0.15">
      <c r="A8" s="9" t="s">
        <v>108</v>
      </c>
      <c r="B8" s="9">
        <v>10</v>
      </c>
      <c r="C8" s="9">
        <v>8.25</v>
      </c>
      <c r="D8" s="9">
        <v>9.1</v>
      </c>
      <c r="E8" s="9">
        <v>10.3</v>
      </c>
      <c r="F8" s="9">
        <v>11.8</v>
      </c>
      <c r="G8" s="9">
        <v>13.6</v>
      </c>
    </row>
    <row r="9" spans="1:7" x14ac:dyDescent="0.15">
      <c r="A9" s="9" t="s">
        <v>572</v>
      </c>
      <c r="B9" s="164"/>
      <c r="C9" s="123">
        <f>(C8-B8)/B8</f>
        <v>-0.17499999999999999</v>
      </c>
      <c r="D9" s="123">
        <f>(D8-C8)/C8</f>
        <v>0.10303030303030299</v>
      </c>
      <c r="E9" s="123">
        <f>(E8-D8)/D8</f>
        <v>0.13186813186813198</v>
      </c>
      <c r="F9" s="123">
        <f>(F8-E8)/E8</f>
        <v>0.14563106796116504</v>
      </c>
      <c r="G9" s="123">
        <f>(G8-F8)/F8</f>
        <v>0.15254237288135583</v>
      </c>
    </row>
    <row r="10" spans="1:7" x14ac:dyDescent="0.15">
      <c r="A10" s="9" t="s">
        <v>573</v>
      </c>
      <c r="B10" s="164">
        <v>0.15</v>
      </c>
      <c r="C10" s="164">
        <v>0.11</v>
      </c>
      <c r="D10" s="164">
        <v>0.11</v>
      </c>
      <c r="E10" s="164">
        <v>0.114</v>
      </c>
      <c r="F10" s="164">
        <v>0.11600000000000001</v>
      </c>
      <c r="G10" s="164">
        <v>0.12</v>
      </c>
    </row>
    <row r="12" spans="1:7" x14ac:dyDescent="0.15">
      <c r="A12" s="293" t="s">
        <v>570</v>
      </c>
    </row>
    <row r="13" spans="1:7" x14ac:dyDescent="0.15">
      <c r="A13" s="9" t="s">
        <v>571</v>
      </c>
      <c r="B13" s="104">
        <v>0.3</v>
      </c>
      <c r="C13" s="104">
        <v>0.67</v>
      </c>
      <c r="D13" s="104">
        <v>0.67</v>
      </c>
      <c r="E13" s="104">
        <v>0.67</v>
      </c>
      <c r="F13" s="104">
        <v>0.67</v>
      </c>
      <c r="G13" s="104">
        <v>0.67</v>
      </c>
    </row>
    <row r="14" spans="1:7" x14ac:dyDescent="0.15">
      <c r="A14" s="9" t="s">
        <v>108</v>
      </c>
      <c r="B14" s="9">
        <v>10</v>
      </c>
      <c r="C14" s="9">
        <v>9.23</v>
      </c>
      <c r="D14" s="9">
        <v>10.4</v>
      </c>
      <c r="E14" s="9">
        <v>12</v>
      </c>
      <c r="F14" s="9">
        <v>14.1</v>
      </c>
      <c r="G14" s="9">
        <v>16.5</v>
      </c>
    </row>
    <row r="15" spans="1:7" x14ac:dyDescent="0.15">
      <c r="A15" s="9" t="s">
        <v>572</v>
      </c>
      <c r="C15" s="123">
        <f>(C14-B14)/B14</f>
        <v>-7.6999999999999957E-2</v>
      </c>
      <c r="D15" s="123">
        <f>(D14-C14)/C14</f>
        <v>0.12676056338028169</v>
      </c>
      <c r="E15" s="123">
        <f>(E14-D14)/D14</f>
        <v>0.1538461538461538</v>
      </c>
      <c r="F15" s="123">
        <f>(F14-E14)/E14</f>
        <v>0.17499999999999996</v>
      </c>
      <c r="G15" s="123">
        <f>(G14-F14)/F14</f>
        <v>0.17021276595744683</v>
      </c>
    </row>
    <row r="16" spans="1:7" x14ac:dyDescent="0.15">
      <c r="A16" s="9" t="s">
        <v>573</v>
      </c>
      <c r="B16" s="104">
        <v>0.15</v>
      </c>
      <c r="C16" s="104">
        <v>0.14000000000000001</v>
      </c>
      <c r="D16" s="104">
        <v>0.17</v>
      </c>
      <c r="E16" s="104">
        <v>0.18</v>
      </c>
      <c r="F16" s="104">
        <v>0.21</v>
      </c>
      <c r="G16" s="104">
        <v>0.22</v>
      </c>
    </row>
    <row r="18" spans="1:7" x14ac:dyDescent="0.15">
      <c r="A18" s="26" t="s">
        <v>426</v>
      </c>
      <c r="B18" s="16">
        <f>B4*POWER(1+$B20,-B3)</f>
        <v>-100</v>
      </c>
      <c r="C18" s="16">
        <f t="shared" ref="C18:G18" si="0">C4*POWER(1+$B20,-C3)</f>
        <v>-9.2561417856281469</v>
      </c>
      <c r="D18" s="16">
        <f t="shared" si="0"/>
        <v>0</v>
      </c>
      <c r="E18" s="16">
        <f t="shared" si="0"/>
        <v>0</v>
      </c>
      <c r="F18" s="16">
        <f t="shared" si="0"/>
        <v>7.3404045218282263</v>
      </c>
      <c r="G18" s="16">
        <f t="shared" si="0"/>
        <v>101.91573752686206</v>
      </c>
    </row>
    <row r="19" spans="1:7" x14ac:dyDescent="0.15">
      <c r="A19" s="9" t="s">
        <v>1075</v>
      </c>
      <c r="B19" s="16">
        <f>SUM(B18:G18)</f>
        <v>2.6306214806481876E-7</v>
      </c>
    </row>
    <row r="20" spans="1:7" x14ac:dyDescent="0.15">
      <c r="A20" s="13" t="s">
        <v>1123</v>
      </c>
      <c r="B20" s="302">
        <v>8.0363744592463815E-2</v>
      </c>
      <c r="C20" s="9" t="s">
        <v>1183</v>
      </c>
    </row>
    <row r="21" spans="1:7" x14ac:dyDescent="0.15">
      <c r="B21" s="164">
        <f>IRR(B4:G4)</f>
        <v>8.036374512673361E-2</v>
      </c>
    </row>
  </sheetData>
  <phoneticPr fontId="4" type="noConversion"/>
  <pageMargins left="0.7" right="0.7" top="0.75" bottom="0.75" header="0.3" footer="0.3"/>
  <pageSetup paperSize="9" scale="89" fitToHeight="0" orientation="portrait" r:id="rId1"/>
  <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8"/>
  <sheetViews>
    <sheetView showGridLines="0" workbookViewId="0">
      <selection activeCell="C20" sqref="C20"/>
    </sheetView>
  </sheetViews>
  <sheetFormatPr baseColWidth="10" defaultColWidth="10.6640625" defaultRowHeight="14" x14ac:dyDescent="0.15"/>
  <cols>
    <col min="1" max="1" width="26" style="322" customWidth="1"/>
    <col min="2" max="16384" width="10.6640625" style="9"/>
  </cols>
  <sheetData>
    <row r="1" spans="1:2" x14ac:dyDescent="0.15">
      <c r="A1" s="32" t="s">
        <v>352</v>
      </c>
    </row>
    <row r="2" spans="1:2" s="272" customFormat="1" x14ac:dyDescent="0.15">
      <c r="A2" s="268" t="s">
        <v>579</v>
      </c>
      <c r="B2" s="396">
        <v>0.1</v>
      </c>
    </row>
    <row r="3" spans="1:2" ht="15" x14ac:dyDescent="0.15">
      <c r="A3" s="322" t="s">
        <v>580</v>
      </c>
      <c r="B3" s="164">
        <v>0.25</v>
      </c>
    </row>
    <row r="4" spans="1:2" ht="15" x14ac:dyDescent="0.15">
      <c r="A4" s="322" t="s">
        <v>581</v>
      </c>
      <c r="B4" s="164">
        <v>7.0000000000000007E-2</v>
      </c>
    </row>
    <row r="5" spans="1:2" ht="15" x14ac:dyDescent="0.15">
      <c r="A5" s="322" t="s">
        <v>221</v>
      </c>
      <c r="B5" s="164">
        <v>0.4</v>
      </c>
    </row>
    <row r="6" spans="1:2" ht="15" x14ac:dyDescent="0.15">
      <c r="A6" s="333" t="s">
        <v>508</v>
      </c>
      <c r="B6" s="123">
        <f>B4*(1-B5)</f>
        <v>4.2000000000000003E-2</v>
      </c>
    </row>
    <row r="8" spans="1:2" x14ac:dyDescent="0.15">
      <c r="A8" s="293" t="s">
        <v>90</v>
      </c>
    </row>
    <row r="9" spans="1:2" ht="15" x14ac:dyDescent="0.15">
      <c r="A9" s="322" t="s">
        <v>819</v>
      </c>
      <c r="B9" s="164">
        <v>0</v>
      </c>
    </row>
    <row r="10" spans="1:2" ht="15" x14ac:dyDescent="0.15">
      <c r="A10" s="329" t="s">
        <v>583</v>
      </c>
      <c r="B10" s="224">
        <f>(B3/(1-B9)-B2)/(B2-B6)</f>
        <v>2.5862068965517238</v>
      </c>
    </row>
    <row r="12" spans="1:2" x14ac:dyDescent="0.15">
      <c r="A12" s="293" t="s">
        <v>90</v>
      </c>
    </row>
    <row r="13" spans="1:2" ht="15" x14ac:dyDescent="0.15">
      <c r="A13" s="322" t="s">
        <v>819</v>
      </c>
      <c r="B13" s="164">
        <f>1/3</f>
        <v>0.33333333333333331</v>
      </c>
    </row>
    <row r="14" spans="1:2" ht="15" x14ac:dyDescent="0.15">
      <c r="A14" s="329" t="s">
        <v>583</v>
      </c>
      <c r="B14" s="224">
        <f>(B3/(1-B13)-B2)/(B2-B6)</f>
        <v>4.7413793103448256</v>
      </c>
    </row>
    <row r="16" spans="1:2" x14ac:dyDescent="0.15">
      <c r="A16" s="293" t="s">
        <v>582</v>
      </c>
    </row>
    <row r="17" spans="1:10" ht="15" x14ac:dyDescent="0.15">
      <c r="A17" s="322" t="s">
        <v>583</v>
      </c>
      <c r="B17" s="15">
        <v>1</v>
      </c>
    </row>
    <row r="18" spans="1:10" ht="15" x14ac:dyDescent="0.15">
      <c r="A18" s="322" t="s">
        <v>819</v>
      </c>
      <c r="B18" s="164">
        <v>0</v>
      </c>
    </row>
    <row r="19" spans="1:10" ht="15" x14ac:dyDescent="0.15">
      <c r="A19" s="329" t="s">
        <v>815</v>
      </c>
      <c r="B19" s="302">
        <f>(B2+(B2-B6)*B17)*(1-B18)</f>
        <v>0.158</v>
      </c>
    </row>
    <row r="21" spans="1:10" x14ac:dyDescent="0.15">
      <c r="A21" s="32" t="s">
        <v>974</v>
      </c>
    </row>
    <row r="22" spans="1:10" ht="45" x14ac:dyDescent="0.15">
      <c r="A22" s="397" t="s">
        <v>51</v>
      </c>
      <c r="B22" s="107" t="s">
        <v>574</v>
      </c>
      <c r="C22" s="107" t="s">
        <v>280</v>
      </c>
      <c r="D22" s="107" t="s">
        <v>978</v>
      </c>
      <c r="E22" s="107" t="s">
        <v>575</v>
      </c>
      <c r="F22" s="107" t="s">
        <v>577</v>
      </c>
      <c r="G22" s="107" t="s">
        <v>251</v>
      </c>
      <c r="H22" s="107" t="s">
        <v>201</v>
      </c>
      <c r="I22" s="107" t="s">
        <v>576</v>
      </c>
      <c r="J22" s="107" t="s">
        <v>578</v>
      </c>
    </row>
    <row r="23" spans="1:10" x14ac:dyDescent="0.15">
      <c r="A23" s="322">
        <v>1</v>
      </c>
      <c r="B23" s="9">
        <v>100</v>
      </c>
      <c r="C23" s="9">
        <v>100</v>
      </c>
      <c r="D23" s="9">
        <f t="shared" ref="D23:D28" si="0">SUM(B23:C23)</f>
        <v>200</v>
      </c>
      <c r="E23" s="9">
        <v>20</v>
      </c>
      <c r="F23" s="9">
        <v>8</v>
      </c>
      <c r="G23" s="9">
        <f t="shared" ref="G23:G28" si="1">E23-F23</f>
        <v>12</v>
      </c>
      <c r="H23" s="9">
        <v>2</v>
      </c>
      <c r="I23" s="9">
        <f t="shared" ref="I23:I28" si="2">G23-H23</f>
        <v>10</v>
      </c>
      <c r="J23" s="9">
        <f t="shared" ref="J23:J28" si="3">B23+I23</f>
        <v>110</v>
      </c>
    </row>
    <row r="24" spans="1:10" x14ac:dyDescent="0.15">
      <c r="A24" s="322">
        <f>A23+1</f>
        <v>2</v>
      </c>
      <c r="B24" s="9">
        <f>J23</f>
        <v>110</v>
      </c>
      <c r="C24" s="9">
        <v>140</v>
      </c>
      <c r="D24" s="9">
        <f t="shared" si="0"/>
        <v>250</v>
      </c>
      <c r="E24" s="9">
        <v>25</v>
      </c>
      <c r="F24" s="9">
        <v>12</v>
      </c>
      <c r="G24" s="9">
        <f t="shared" si="1"/>
        <v>13</v>
      </c>
      <c r="H24" s="9">
        <v>1</v>
      </c>
      <c r="I24" s="9">
        <f t="shared" si="2"/>
        <v>12</v>
      </c>
      <c r="J24" s="9">
        <f t="shared" si="3"/>
        <v>122</v>
      </c>
    </row>
    <row r="25" spans="1:10" x14ac:dyDescent="0.15">
      <c r="A25" s="322">
        <f>A24+1</f>
        <v>3</v>
      </c>
      <c r="B25" s="9">
        <f>J24</f>
        <v>122</v>
      </c>
      <c r="C25" s="9">
        <v>190</v>
      </c>
      <c r="D25" s="9">
        <f t="shared" si="0"/>
        <v>312</v>
      </c>
      <c r="E25" s="9">
        <v>28</v>
      </c>
      <c r="F25" s="9">
        <v>17</v>
      </c>
      <c r="G25" s="9">
        <f t="shared" si="1"/>
        <v>11</v>
      </c>
      <c r="H25" s="9">
        <v>0</v>
      </c>
      <c r="I25" s="9">
        <f t="shared" si="2"/>
        <v>11</v>
      </c>
      <c r="J25" s="9">
        <f t="shared" si="3"/>
        <v>133</v>
      </c>
    </row>
    <row r="26" spans="1:10" x14ac:dyDescent="0.15">
      <c r="A26" s="322">
        <f>A25+1</f>
        <v>4</v>
      </c>
      <c r="B26" s="9">
        <f>J25</f>
        <v>133</v>
      </c>
      <c r="C26" s="9">
        <v>258</v>
      </c>
      <c r="D26" s="9">
        <f t="shared" si="0"/>
        <v>391</v>
      </c>
      <c r="E26" s="9">
        <v>31</v>
      </c>
      <c r="F26" s="9">
        <v>26</v>
      </c>
      <c r="G26" s="9">
        <f t="shared" si="1"/>
        <v>5</v>
      </c>
      <c r="H26" s="9">
        <v>0</v>
      </c>
      <c r="I26" s="9">
        <f t="shared" si="2"/>
        <v>5</v>
      </c>
      <c r="J26" s="9">
        <f t="shared" si="3"/>
        <v>138</v>
      </c>
    </row>
    <row r="27" spans="1:10" x14ac:dyDescent="0.15">
      <c r="A27" s="322">
        <f>A26+1</f>
        <v>5</v>
      </c>
      <c r="B27" s="9">
        <f>J26</f>
        <v>138</v>
      </c>
      <c r="C27" s="9">
        <v>350</v>
      </c>
      <c r="D27" s="9">
        <f t="shared" si="0"/>
        <v>488</v>
      </c>
      <c r="E27" s="9">
        <v>34</v>
      </c>
      <c r="F27" s="9">
        <v>35</v>
      </c>
      <c r="G27" s="9">
        <f t="shared" si="1"/>
        <v>-1</v>
      </c>
      <c r="H27" s="9">
        <v>0</v>
      </c>
      <c r="I27" s="9">
        <f t="shared" si="2"/>
        <v>-1</v>
      </c>
      <c r="J27" s="9">
        <f t="shared" si="3"/>
        <v>137</v>
      </c>
    </row>
    <row r="28" spans="1:10" x14ac:dyDescent="0.15">
      <c r="A28" s="322">
        <f>A27+1</f>
        <v>6</v>
      </c>
      <c r="B28" s="9">
        <f>J27</f>
        <v>137</v>
      </c>
      <c r="C28" s="9">
        <v>474</v>
      </c>
      <c r="D28" s="9">
        <f t="shared" si="0"/>
        <v>611</v>
      </c>
      <c r="E28" s="9">
        <v>43</v>
      </c>
      <c r="F28" s="9">
        <v>47</v>
      </c>
      <c r="G28" s="9">
        <f t="shared" si="1"/>
        <v>-4</v>
      </c>
      <c r="H28" s="9">
        <v>0</v>
      </c>
      <c r="I28" s="9">
        <f t="shared" si="2"/>
        <v>-4</v>
      </c>
      <c r="J28" s="9">
        <f t="shared" si="3"/>
        <v>133</v>
      </c>
    </row>
  </sheetData>
  <phoneticPr fontId="4" type="noConversion"/>
  <pageMargins left="0.7" right="0.7" top="0.75" bottom="0.75" header="0.3" footer="0.3"/>
  <pageSetup paperSize="9" scale="63" fitToHeight="0" orientation="portrait" r:id="rId1"/>
  <drawing r:id="rId2"/>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100"/>
  <sheetViews>
    <sheetView showGridLines="0" workbookViewId="0">
      <selection activeCell="C20" sqref="C20"/>
    </sheetView>
  </sheetViews>
  <sheetFormatPr baseColWidth="10" defaultColWidth="10.6640625" defaultRowHeight="14" x14ac:dyDescent="0.15"/>
  <cols>
    <col min="1" max="1" width="21.5" style="322" customWidth="1"/>
    <col min="2" max="2" width="13.5" style="9" bestFit="1" customWidth="1"/>
    <col min="3" max="4" width="18.5" style="9" customWidth="1"/>
    <col min="5" max="6" width="11.1640625" style="9" bestFit="1" customWidth="1"/>
    <col min="7" max="7" width="11.83203125" style="9" customWidth="1"/>
    <col min="8" max="9" width="11.1640625" style="9" bestFit="1" customWidth="1"/>
    <col min="10" max="16384" width="10.6640625" style="9"/>
  </cols>
  <sheetData>
    <row r="1" spans="1:9" x14ac:dyDescent="0.15">
      <c r="A1" s="32" t="s">
        <v>352</v>
      </c>
    </row>
    <row r="2" spans="1:9" x14ac:dyDescent="0.15">
      <c r="A2" s="293" t="s">
        <v>1289</v>
      </c>
    </row>
    <row r="3" spans="1:9" ht="15" x14ac:dyDescent="0.15">
      <c r="A3" s="322" t="s">
        <v>117</v>
      </c>
      <c r="B3" s="43">
        <v>225</v>
      </c>
      <c r="C3" s="9" t="s">
        <v>1290</v>
      </c>
    </row>
    <row r="4" spans="1:9" ht="15" x14ac:dyDescent="0.15">
      <c r="A4" s="322" t="s">
        <v>584</v>
      </c>
      <c r="B4" s="43">
        <v>11</v>
      </c>
      <c r="C4" s="9" t="s">
        <v>1290</v>
      </c>
    </row>
    <row r="5" spans="1:9" ht="15" x14ac:dyDescent="0.15">
      <c r="A5" s="322" t="s">
        <v>108</v>
      </c>
      <c r="B5" s="24">
        <v>19.59</v>
      </c>
      <c r="C5" s="9" t="s">
        <v>1290</v>
      </c>
    </row>
    <row r="6" spans="1:9" x14ac:dyDescent="0.15">
      <c r="B6" s="104"/>
    </row>
    <row r="7" spans="1:9" ht="15" x14ac:dyDescent="0.15">
      <c r="A7" s="329" t="s">
        <v>819</v>
      </c>
      <c r="B7" s="171">
        <f>B4/B5</f>
        <v>0.56151097498723834</v>
      </c>
      <c r="D7" s="104"/>
    </row>
    <row r="8" spans="1:9" ht="15" x14ac:dyDescent="0.15">
      <c r="A8" s="329" t="s">
        <v>585</v>
      </c>
      <c r="B8" s="171">
        <f>B4*1.5/B3</f>
        <v>7.3333333333333334E-2</v>
      </c>
    </row>
    <row r="9" spans="1:9" ht="15" x14ac:dyDescent="0.15">
      <c r="A9" s="329" t="s">
        <v>586</v>
      </c>
      <c r="B9" s="171">
        <f>B4/B3</f>
        <v>4.8888888888888891E-2</v>
      </c>
    </row>
    <row r="11" spans="1:9" x14ac:dyDescent="0.15">
      <c r="A11" s="32" t="s">
        <v>974</v>
      </c>
    </row>
    <row r="12" spans="1:9" x14ac:dyDescent="0.15">
      <c r="B12" s="322"/>
      <c r="C12" s="121">
        <v>2008</v>
      </c>
      <c r="D12" s="121">
        <f t="shared" ref="D12:I12" si="0">C12+1</f>
        <v>2009</v>
      </c>
      <c r="E12" s="121">
        <f t="shared" si="0"/>
        <v>2010</v>
      </c>
      <c r="F12" s="121">
        <f t="shared" si="0"/>
        <v>2011</v>
      </c>
      <c r="G12" s="121">
        <f t="shared" si="0"/>
        <v>2012</v>
      </c>
      <c r="H12" s="121">
        <f t="shared" si="0"/>
        <v>2013</v>
      </c>
      <c r="I12" s="121">
        <f t="shared" si="0"/>
        <v>2014</v>
      </c>
    </row>
    <row r="13" spans="1:9" ht="15" x14ac:dyDescent="0.15">
      <c r="A13" s="322" t="s">
        <v>498</v>
      </c>
      <c r="B13" s="9" t="s">
        <v>108</v>
      </c>
      <c r="C13" s="9">
        <v>100</v>
      </c>
      <c r="D13" s="9">
        <v>115</v>
      </c>
      <c r="E13" s="9">
        <v>131</v>
      </c>
      <c r="F13" s="9">
        <v>150</v>
      </c>
      <c r="G13" s="9">
        <v>160</v>
      </c>
      <c r="H13" s="9">
        <v>165</v>
      </c>
      <c r="I13" s="9">
        <v>167</v>
      </c>
    </row>
    <row r="14" spans="1:9" x14ac:dyDescent="0.15">
      <c r="B14" s="9" t="s">
        <v>587</v>
      </c>
      <c r="C14" s="9">
        <v>20</v>
      </c>
      <c r="D14" s="9">
        <v>23</v>
      </c>
      <c r="E14" s="9">
        <v>26</v>
      </c>
      <c r="F14" s="9">
        <v>30</v>
      </c>
      <c r="G14" s="9">
        <v>35</v>
      </c>
      <c r="H14" s="9">
        <v>41</v>
      </c>
      <c r="I14" s="9">
        <v>60</v>
      </c>
    </row>
    <row r="15" spans="1:9" ht="15" x14ac:dyDescent="0.15">
      <c r="B15" s="12" t="s">
        <v>819</v>
      </c>
      <c r="C15" s="123">
        <f>C14/C13</f>
        <v>0.2</v>
      </c>
      <c r="D15" s="123">
        <f t="shared" ref="D15:I15" si="1">D14/D13</f>
        <v>0.2</v>
      </c>
      <c r="E15" s="123">
        <f t="shared" si="1"/>
        <v>0.19847328244274809</v>
      </c>
      <c r="F15" s="123">
        <f t="shared" si="1"/>
        <v>0.2</v>
      </c>
      <c r="G15" s="123">
        <f t="shared" si="1"/>
        <v>0.21875</v>
      </c>
      <c r="H15" s="123">
        <f t="shared" si="1"/>
        <v>0.24848484848484848</v>
      </c>
      <c r="I15" s="123">
        <f t="shared" si="1"/>
        <v>0.3592814371257485</v>
      </c>
    </row>
    <row r="16" spans="1:9" ht="15" x14ac:dyDescent="0.15">
      <c r="B16" s="12" t="s">
        <v>588</v>
      </c>
      <c r="D16" s="123">
        <f t="shared" ref="D16:I16" si="2">(D14-C14)/C14</f>
        <v>0.15</v>
      </c>
      <c r="E16" s="123">
        <f t="shared" si="2"/>
        <v>0.13043478260869565</v>
      </c>
      <c r="F16" s="123">
        <f t="shared" si="2"/>
        <v>0.15384615384615385</v>
      </c>
      <c r="G16" s="123">
        <f t="shared" si="2"/>
        <v>0.16666666666666666</v>
      </c>
      <c r="H16" s="123">
        <f t="shared" si="2"/>
        <v>0.17142857142857143</v>
      </c>
      <c r="I16" s="123">
        <f t="shared" si="2"/>
        <v>0.46341463414634149</v>
      </c>
    </row>
    <row r="17" spans="1:22" ht="15" x14ac:dyDescent="0.15">
      <c r="A17" s="322" t="s">
        <v>499</v>
      </c>
      <c r="B17" s="9" t="s">
        <v>108</v>
      </c>
      <c r="C17" s="9">
        <v>350</v>
      </c>
      <c r="D17" s="9">
        <v>402</v>
      </c>
      <c r="E17" s="9">
        <v>458</v>
      </c>
      <c r="F17" s="9">
        <v>524</v>
      </c>
      <c r="G17" s="9">
        <v>559</v>
      </c>
      <c r="H17" s="9">
        <v>577</v>
      </c>
      <c r="I17" s="9">
        <v>584</v>
      </c>
    </row>
    <row r="18" spans="1:22" x14ac:dyDescent="0.15">
      <c r="B18" s="9" t="s">
        <v>587</v>
      </c>
      <c r="C18" s="9">
        <v>70</v>
      </c>
      <c r="D18" s="9">
        <v>80</v>
      </c>
      <c r="E18" s="9">
        <v>92</v>
      </c>
      <c r="F18" s="9">
        <v>105</v>
      </c>
      <c r="G18" s="9">
        <v>112</v>
      </c>
      <c r="H18" s="9">
        <v>115</v>
      </c>
      <c r="I18" s="9">
        <v>117</v>
      </c>
    </row>
    <row r="19" spans="1:22" ht="15" x14ac:dyDescent="0.15">
      <c r="B19" s="12" t="s">
        <v>819</v>
      </c>
      <c r="C19" s="123">
        <f t="shared" ref="C19:I19" si="3">C18/C17</f>
        <v>0.2</v>
      </c>
      <c r="D19" s="123">
        <f t="shared" si="3"/>
        <v>0.19900497512437812</v>
      </c>
      <c r="E19" s="123">
        <f t="shared" si="3"/>
        <v>0.20087336244541484</v>
      </c>
      <c r="F19" s="123">
        <f t="shared" si="3"/>
        <v>0.20038167938931298</v>
      </c>
      <c r="G19" s="123">
        <f t="shared" si="3"/>
        <v>0.2003577817531306</v>
      </c>
      <c r="H19" s="123">
        <f t="shared" si="3"/>
        <v>0.19930675909878684</v>
      </c>
      <c r="I19" s="123">
        <f t="shared" si="3"/>
        <v>0.20034246575342465</v>
      </c>
    </row>
    <row r="20" spans="1:22" ht="15" x14ac:dyDescent="0.15">
      <c r="B20" s="12" t="s">
        <v>588</v>
      </c>
      <c r="D20" s="123">
        <f t="shared" ref="D20:I20" si="4">(D18-C18)/C18</f>
        <v>0.14285714285714285</v>
      </c>
      <c r="E20" s="123">
        <f t="shared" si="4"/>
        <v>0.15</v>
      </c>
      <c r="F20" s="123">
        <f t="shared" si="4"/>
        <v>0.14130434782608695</v>
      </c>
      <c r="G20" s="123">
        <f t="shared" si="4"/>
        <v>6.6666666666666666E-2</v>
      </c>
      <c r="H20" s="123">
        <f t="shared" si="4"/>
        <v>2.6785714285714284E-2</v>
      </c>
      <c r="I20" s="123">
        <f t="shared" si="4"/>
        <v>1.7391304347826087E-2</v>
      </c>
    </row>
    <row r="21" spans="1:22" ht="15" x14ac:dyDescent="0.15">
      <c r="A21" s="322" t="s">
        <v>500</v>
      </c>
      <c r="B21" s="9" t="s">
        <v>108</v>
      </c>
      <c r="C21" s="9">
        <v>100</v>
      </c>
      <c r="D21" s="9">
        <v>50</v>
      </c>
      <c r="E21" s="9">
        <v>0</v>
      </c>
      <c r="F21" s="9">
        <v>-50</v>
      </c>
      <c r="G21" s="9">
        <v>-50</v>
      </c>
      <c r="H21" s="9">
        <v>0</v>
      </c>
      <c r="I21" s="9">
        <v>50</v>
      </c>
    </row>
    <row r="22" spans="1:22" x14ac:dyDescent="0.15">
      <c r="B22" s="9" t="s">
        <v>587</v>
      </c>
      <c r="C22" s="9">
        <v>5</v>
      </c>
      <c r="D22" s="9">
        <v>5</v>
      </c>
      <c r="E22" s="9">
        <v>5</v>
      </c>
      <c r="F22" s="9">
        <v>5</v>
      </c>
      <c r="G22" s="9">
        <v>5</v>
      </c>
      <c r="H22" s="9">
        <v>5</v>
      </c>
      <c r="I22" s="9">
        <v>6</v>
      </c>
    </row>
    <row r="23" spans="1:22" ht="15" x14ac:dyDescent="0.15">
      <c r="B23" s="12" t="s">
        <v>819</v>
      </c>
      <c r="C23" s="123">
        <f t="shared" ref="C23:I23" si="5">C22/C21</f>
        <v>0.05</v>
      </c>
      <c r="D23" s="123">
        <f t="shared" si="5"/>
        <v>0.1</v>
      </c>
      <c r="E23" s="249" t="s">
        <v>562</v>
      </c>
      <c r="F23" s="123">
        <f t="shared" si="5"/>
        <v>-0.1</v>
      </c>
      <c r="G23" s="123">
        <f t="shared" si="5"/>
        <v>-0.1</v>
      </c>
      <c r="H23" s="249" t="s">
        <v>562</v>
      </c>
      <c r="I23" s="123">
        <f t="shared" si="5"/>
        <v>0.12</v>
      </c>
    </row>
    <row r="24" spans="1:22" ht="15" x14ac:dyDescent="0.15">
      <c r="B24" s="12" t="s">
        <v>588</v>
      </c>
      <c r="D24" s="123">
        <f t="shared" ref="D24:I24" si="6">(D22-C22)/C22</f>
        <v>0</v>
      </c>
      <c r="E24" s="123">
        <f t="shared" si="6"/>
        <v>0</v>
      </c>
      <c r="F24" s="123">
        <f t="shared" si="6"/>
        <v>0</v>
      </c>
      <c r="G24" s="123">
        <f t="shared" si="6"/>
        <v>0</v>
      </c>
      <c r="H24" s="123">
        <f t="shared" si="6"/>
        <v>0</v>
      </c>
      <c r="I24" s="123">
        <f t="shared" si="6"/>
        <v>0.2</v>
      </c>
    </row>
    <row r="25" spans="1:22" ht="15" x14ac:dyDescent="0.15">
      <c r="A25" s="322" t="s">
        <v>501</v>
      </c>
      <c r="B25" s="9" t="s">
        <v>108</v>
      </c>
      <c r="C25" s="9">
        <v>500</v>
      </c>
      <c r="D25" s="9">
        <v>520</v>
      </c>
      <c r="E25" s="9">
        <v>550</v>
      </c>
      <c r="F25" s="9">
        <v>600</v>
      </c>
      <c r="G25" s="9">
        <v>500</v>
      </c>
      <c r="H25" s="9">
        <v>400</v>
      </c>
      <c r="I25" s="9">
        <v>300</v>
      </c>
    </row>
    <row r="26" spans="1:22" x14ac:dyDescent="0.15">
      <c r="B26" s="9" t="s">
        <v>587</v>
      </c>
      <c r="C26" s="9">
        <v>100</v>
      </c>
      <c r="D26" s="9">
        <v>80</v>
      </c>
      <c r="E26" s="9">
        <v>70</v>
      </c>
      <c r="F26" s="9">
        <v>100</v>
      </c>
      <c r="G26" s="9">
        <v>120</v>
      </c>
      <c r="H26" s="9">
        <v>150</v>
      </c>
      <c r="I26" s="9">
        <v>200</v>
      </c>
    </row>
    <row r="27" spans="1:22" ht="15" x14ac:dyDescent="0.15">
      <c r="B27" s="12" t="s">
        <v>819</v>
      </c>
      <c r="C27" s="123">
        <f t="shared" ref="C27:I27" si="7">C26/C25</f>
        <v>0.2</v>
      </c>
      <c r="D27" s="123">
        <f t="shared" si="7"/>
        <v>0.15384615384615385</v>
      </c>
      <c r="E27" s="123">
        <f t="shared" si="7"/>
        <v>0.12727272727272726</v>
      </c>
      <c r="F27" s="123">
        <f t="shared" si="7"/>
        <v>0.16666666666666666</v>
      </c>
      <c r="G27" s="123">
        <f t="shared" si="7"/>
        <v>0.24</v>
      </c>
      <c r="H27" s="123">
        <f t="shared" si="7"/>
        <v>0.375</v>
      </c>
      <c r="I27" s="123">
        <f t="shared" si="7"/>
        <v>0.66666666666666663</v>
      </c>
    </row>
    <row r="28" spans="1:22" ht="15" x14ac:dyDescent="0.15">
      <c r="B28" s="12" t="s">
        <v>588</v>
      </c>
      <c r="D28" s="123">
        <f t="shared" ref="D28:I28" si="8">(D26-C26)/C26</f>
        <v>-0.2</v>
      </c>
      <c r="E28" s="123">
        <f t="shared" si="8"/>
        <v>-0.125</v>
      </c>
      <c r="F28" s="123">
        <f t="shared" si="8"/>
        <v>0.42857142857142855</v>
      </c>
      <c r="G28" s="123">
        <f t="shared" si="8"/>
        <v>0.2</v>
      </c>
      <c r="H28" s="123">
        <f t="shared" si="8"/>
        <v>0.25</v>
      </c>
      <c r="I28" s="123">
        <f t="shared" si="8"/>
        <v>0.33333333333333331</v>
      </c>
    </row>
    <row r="30" spans="1:22" x14ac:dyDescent="0.15">
      <c r="A30" s="32" t="s">
        <v>589</v>
      </c>
    </row>
    <row r="31" spans="1:22" x14ac:dyDescent="0.15">
      <c r="A31" s="32"/>
      <c r="B31" s="121" t="s">
        <v>591</v>
      </c>
      <c r="C31" s="121" t="s">
        <v>592</v>
      </c>
      <c r="D31" s="121" t="s">
        <v>593</v>
      </c>
    </row>
    <row r="32" spans="1:22" ht="15" x14ac:dyDescent="0.15">
      <c r="A32" s="12" t="s">
        <v>197</v>
      </c>
      <c r="B32" s="398">
        <v>100000000</v>
      </c>
      <c r="C32" s="398">
        <f t="shared" ref="C32:D35" si="9">B32</f>
        <v>100000000</v>
      </c>
      <c r="D32" s="398">
        <f t="shared" si="9"/>
        <v>100000000</v>
      </c>
      <c r="E32" s="12"/>
      <c r="F32" s="12"/>
      <c r="G32" s="12"/>
      <c r="H32" s="12"/>
      <c r="I32" s="12"/>
      <c r="J32" s="12"/>
      <c r="K32" s="12"/>
      <c r="L32" s="12"/>
      <c r="M32" s="12"/>
      <c r="N32" s="12"/>
      <c r="O32" s="12"/>
      <c r="P32" s="12"/>
      <c r="Q32" s="12"/>
      <c r="R32" s="12"/>
      <c r="S32" s="12"/>
      <c r="T32" s="12"/>
      <c r="U32" s="12"/>
      <c r="V32" s="12"/>
    </row>
    <row r="33" spans="1:7" x14ac:dyDescent="0.15">
      <c r="A33" s="9" t="s">
        <v>157</v>
      </c>
      <c r="B33" s="398">
        <v>1000000</v>
      </c>
      <c r="C33" s="398">
        <f t="shared" si="9"/>
        <v>1000000</v>
      </c>
      <c r="D33" s="398">
        <f t="shared" si="9"/>
        <v>1000000</v>
      </c>
    </row>
    <row r="34" spans="1:7" x14ac:dyDescent="0.15">
      <c r="A34" s="9" t="s">
        <v>117</v>
      </c>
      <c r="B34" s="398">
        <v>1000</v>
      </c>
      <c r="C34" s="398">
        <f t="shared" si="9"/>
        <v>1000</v>
      </c>
      <c r="D34" s="398">
        <f t="shared" si="9"/>
        <v>1000</v>
      </c>
    </row>
    <row r="35" spans="1:7" x14ac:dyDescent="0.15">
      <c r="A35" s="9" t="s">
        <v>590</v>
      </c>
      <c r="B35" s="398">
        <v>1200000000</v>
      </c>
      <c r="C35" s="398">
        <f t="shared" si="9"/>
        <v>1200000000</v>
      </c>
      <c r="D35" s="398">
        <f t="shared" si="9"/>
        <v>1200000000</v>
      </c>
    </row>
    <row r="36" spans="1:7" x14ac:dyDescent="0.15">
      <c r="A36" s="9"/>
    </row>
    <row r="37" spans="1:7" x14ac:dyDescent="0.15">
      <c r="A37" s="9" t="s">
        <v>594</v>
      </c>
    </row>
    <row r="38" spans="1:7" x14ac:dyDescent="0.15">
      <c r="A38" s="9" t="s">
        <v>157</v>
      </c>
      <c r="B38" s="398"/>
      <c r="C38" s="398">
        <f>C33/4</f>
        <v>250000</v>
      </c>
      <c r="D38" s="398">
        <f>C38</f>
        <v>250000</v>
      </c>
    </row>
    <row r="39" spans="1:7" x14ac:dyDescent="0.15">
      <c r="A39" s="9" t="s">
        <v>208</v>
      </c>
      <c r="B39" s="398"/>
      <c r="C39" s="398">
        <v>500</v>
      </c>
      <c r="D39" s="398">
        <v>1500</v>
      </c>
    </row>
    <row r="40" spans="1:7" x14ac:dyDescent="0.15">
      <c r="A40" s="9" t="s">
        <v>595</v>
      </c>
      <c r="B40" s="164"/>
      <c r="C40" s="164">
        <v>0.05</v>
      </c>
      <c r="D40" s="164">
        <f>C40</f>
        <v>0.05</v>
      </c>
    </row>
    <row r="41" spans="1:7" x14ac:dyDescent="0.15">
      <c r="A41" s="9"/>
    </row>
    <row r="42" spans="1:7" x14ac:dyDescent="0.15">
      <c r="A42" s="13" t="s">
        <v>108</v>
      </c>
      <c r="B42" s="398">
        <f>(B32-B39*B38*B40)/(B33-B38)</f>
        <v>100</v>
      </c>
      <c r="C42" s="398">
        <f>(C32-C39*C38*C40)/(C33-C38)</f>
        <v>125</v>
      </c>
      <c r="D42" s="398">
        <f>(D32-D39*D38*D40)/(D33-D38)</f>
        <v>108.33333333333333</v>
      </c>
    </row>
    <row r="43" spans="1:7" x14ac:dyDescent="0.15">
      <c r="A43" s="9"/>
      <c r="B43" s="399"/>
      <c r="C43" s="400">
        <f>(C42-$B42)/$B42</f>
        <v>0.25</v>
      </c>
      <c r="D43" s="400">
        <f>(D42-$B42)/$B42</f>
        <v>8.3333333333333287E-2</v>
      </c>
    </row>
    <row r="44" spans="1:7" x14ac:dyDescent="0.15">
      <c r="A44" s="13" t="s">
        <v>596</v>
      </c>
      <c r="B44" s="398">
        <f>(B35-B38*B39)/(B33-B38)</f>
        <v>1200</v>
      </c>
      <c r="C44" s="398">
        <f>(C35-C38*C39)/(C33-C38)</f>
        <v>1433.3333333333333</v>
      </c>
      <c r="D44" s="398">
        <f>(D35-D38*D39)/(D33-D38)</f>
        <v>1100</v>
      </c>
    </row>
    <row r="45" spans="1:7" x14ac:dyDescent="0.15">
      <c r="A45" s="9"/>
      <c r="C45" s="400">
        <f>(C44-$B44)/$B44</f>
        <v>0.19444444444444439</v>
      </c>
      <c r="D45" s="400">
        <f>(D44-$B44)/$B44</f>
        <v>-8.3333333333333329E-2</v>
      </c>
    </row>
    <row r="46" spans="1:7" x14ac:dyDescent="0.15">
      <c r="A46" s="9"/>
    </row>
    <row r="47" spans="1:7" x14ac:dyDescent="0.15">
      <c r="A47" s="32" t="s">
        <v>466</v>
      </c>
    </row>
    <row r="48" spans="1:7" ht="30" x14ac:dyDescent="0.15">
      <c r="A48" s="9"/>
      <c r="B48" s="107" t="s">
        <v>227</v>
      </c>
      <c r="C48" s="107" t="s">
        <v>251</v>
      </c>
      <c r="D48" s="107" t="s">
        <v>598</v>
      </c>
      <c r="E48" s="107" t="s">
        <v>574</v>
      </c>
      <c r="F48" s="107" t="s">
        <v>981</v>
      </c>
      <c r="G48" s="107" t="s">
        <v>597</v>
      </c>
    </row>
    <row r="49" spans="1:7" x14ac:dyDescent="0.15">
      <c r="A49" s="9">
        <v>2009</v>
      </c>
      <c r="B49" s="9">
        <v>170</v>
      </c>
      <c r="C49" s="9">
        <v>8</v>
      </c>
      <c r="D49" s="9">
        <v>9</v>
      </c>
      <c r="E49" s="9">
        <v>50</v>
      </c>
      <c r="F49" s="9">
        <v>60</v>
      </c>
      <c r="G49" s="9">
        <v>55</v>
      </c>
    </row>
    <row r="50" spans="1:7" x14ac:dyDescent="0.15">
      <c r="A50" s="9">
        <f>A49+1</f>
        <v>2010</v>
      </c>
      <c r="B50" s="9">
        <v>130</v>
      </c>
      <c r="C50" s="9">
        <v>10</v>
      </c>
      <c r="D50" s="9">
        <v>10</v>
      </c>
      <c r="E50" s="9">
        <v>60</v>
      </c>
      <c r="F50" s="9">
        <v>70</v>
      </c>
      <c r="G50" s="9">
        <v>90</v>
      </c>
    </row>
    <row r="51" spans="1:7" x14ac:dyDescent="0.15">
      <c r="A51" s="9">
        <f>A50+1</f>
        <v>2011</v>
      </c>
      <c r="B51" s="9">
        <v>170</v>
      </c>
      <c r="C51" s="9">
        <v>11</v>
      </c>
      <c r="D51" s="9">
        <v>10</v>
      </c>
      <c r="E51" s="9">
        <v>71</v>
      </c>
      <c r="F51" s="9">
        <v>75</v>
      </c>
      <c r="G51" s="9">
        <v>152</v>
      </c>
    </row>
    <row r="52" spans="1:7" x14ac:dyDescent="0.15">
      <c r="A52" s="9">
        <f>A51+1</f>
        <v>2012</v>
      </c>
      <c r="B52" s="9">
        <v>220</v>
      </c>
      <c r="C52" s="9">
        <v>13</v>
      </c>
      <c r="D52" s="9">
        <v>9</v>
      </c>
      <c r="E52" s="9">
        <v>84</v>
      </c>
      <c r="F52" s="9">
        <v>76</v>
      </c>
      <c r="G52" s="9">
        <v>195</v>
      </c>
    </row>
    <row r="53" spans="1:7" x14ac:dyDescent="0.15">
      <c r="A53" s="9">
        <f>A52+1</f>
        <v>2013</v>
      </c>
      <c r="B53" s="9">
        <v>230</v>
      </c>
      <c r="C53" s="9">
        <v>13</v>
      </c>
      <c r="D53" s="9">
        <v>7</v>
      </c>
      <c r="E53" s="9">
        <v>97</v>
      </c>
      <c r="F53" s="9">
        <v>70</v>
      </c>
      <c r="G53" s="9">
        <v>210</v>
      </c>
    </row>
    <row r="54" spans="1:7" x14ac:dyDescent="0.15">
      <c r="A54" s="9">
        <f>A53+1</f>
        <v>2014</v>
      </c>
      <c r="B54" s="9">
        <v>240</v>
      </c>
      <c r="C54" s="9">
        <v>13</v>
      </c>
      <c r="D54" s="9">
        <v>6</v>
      </c>
      <c r="E54" s="9">
        <v>110</v>
      </c>
      <c r="F54" s="9">
        <v>65</v>
      </c>
      <c r="G54" s="9">
        <v>200</v>
      </c>
    </row>
    <row r="55" spans="1:7" x14ac:dyDescent="0.15">
      <c r="A55" s="9"/>
    </row>
    <row r="56" spans="1:7" x14ac:dyDescent="0.15">
      <c r="A56" s="9" t="s">
        <v>157</v>
      </c>
      <c r="B56" s="398">
        <v>1000000</v>
      </c>
    </row>
    <row r="57" spans="1:7" x14ac:dyDescent="0.15">
      <c r="A57" s="9" t="s">
        <v>221</v>
      </c>
      <c r="B57" s="104">
        <v>0.33</v>
      </c>
    </row>
    <row r="58" spans="1:7" x14ac:dyDescent="0.15">
      <c r="A58" s="9"/>
    </row>
    <row r="59" spans="1:7" x14ac:dyDescent="0.15">
      <c r="A59" s="9" t="s">
        <v>496</v>
      </c>
      <c r="B59" s="204" t="s">
        <v>1005</v>
      </c>
      <c r="C59" s="204" t="s">
        <v>599</v>
      </c>
    </row>
    <row r="60" spans="1:7" x14ac:dyDescent="0.15">
      <c r="A60" s="9">
        <f t="shared" ref="A60:A65" si="10">A49</f>
        <v>2009</v>
      </c>
      <c r="B60" s="123">
        <f t="shared" ref="B60:B65" si="11">(C49+D49*(1-B$57))/(E49+F49)</f>
        <v>0.12754545454545455</v>
      </c>
      <c r="C60" s="123">
        <f t="shared" ref="C60:C65" si="12">C49/E49</f>
        <v>0.16</v>
      </c>
    </row>
    <row r="61" spans="1:7" x14ac:dyDescent="0.15">
      <c r="A61" s="9">
        <f t="shared" si="10"/>
        <v>2010</v>
      </c>
      <c r="B61" s="123">
        <f t="shared" si="11"/>
        <v>0.12846153846153846</v>
      </c>
      <c r="C61" s="123">
        <f t="shared" si="12"/>
        <v>0.16666666666666666</v>
      </c>
    </row>
    <row r="62" spans="1:7" x14ac:dyDescent="0.15">
      <c r="A62" s="9">
        <f t="shared" si="10"/>
        <v>2011</v>
      </c>
      <c r="B62" s="123">
        <f t="shared" si="11"/>
        <v>0.12123287671232877</v>
      </c>
      <c r="C62" s="123">
        <f t="shared" si="12"/>
        <v>0.15492957746478872</v>
      </c>
    </row>
    <row r="63" spans="1:7" x14ac:dyDescent="0.15">
      <c r="A63" s="9">
        <f t="shared" si="10"/>
        <v>2012</v>
      </c>
      <c r="B63" s="123">
        <f t="shared" si="11"/>
        <v>0.1189375</v>
      </c>
      <c r="C63" s="123">
        <f t="shared" si="12"/>
        <v>0.15476190476190477</v>
      </c>
    </row>
    <row r="64" spans="1:7" x14ac:dyDescent="0.15">
      <c r="A64" s="9">
        <f t="shared" si="10"/>
        <v>2013</v>
      </c>
      <c r="B64" s="123">
        <f t="shared" si="11"/>
        <v>0.10592814371257483</v>
      </c>
      <c r="C64" s="123">
        <f t="shared" si="12"/>
        <v>0.13402061855670103</v>
      </c>
    </row>
    <row r="65" spans="1:3" x14ac:dyDescent="0.15">
      <c r="A65" s="9">
        <f t="shared" si="10"/>
        <v>2014</v>
      </c>
      <c r="B65" s="123">
        <f t="shared" si="11"/>
        <v>9.7257142857142861E-2</v>
      </c>
      <c r="C65" s="123">
        <f t="shared" si="12"/>
        <v>0.11818181818181818</v>
      </c>
    </row>
    <row r="66" spans="1:3" x14ac:dyDescent="0.15">
      <c r="A66" s="9"/>
    </row>
    <row r="67" spans="1:3" x14ac:dyDescent="0.15">
      <c r="A67" s="9" t="s">
        <v>497</v>
      </c>
    </row>
    <row r="68" spans="1:3" x14ac:dyDescent="0.15">
      <c r="A68" s="9"/>
      <c r="B68" s="9" t="s">
        <v>601</v>
      </c>
    </row>
    <row r="69" spans="1:3" x14ac:dyDescent="0.15">
      <c r="A69" s="12">
        <f>A61</f>
        <v>2010</v>
      </c>
      <c r="B69" s="104">
        <f>(C50-C49)/(E50-E49)</f>
        <v>0.2</v>
      </c>
    </row>
    <row r="70" spans="1:3" x14ac:dyDescent="0.15">
      <c r="A70" s="12">
        <f>A62</f>
        <v>2011</v>
      </c>
      <c r="B70" s="164">
        <f>(C51-C50)/(E51-E50)</f>
        <v>9.0909090909090912E-2</v>
      </c>
    </row>
    <row r="71" spans="1:3" x14ac:dyDescent="0.15">
      <c r="A71" s="12">
        <f>A63</f>
        <v>2012</v>
      </c>
      <c r="B71" s="164">
        <f>(C52-C51)/(E52-E51)</f>
        <v>0.15384615384615385</v>
      </c>
    </row>
    <row r="72" spans="1:3" x14ac:dyDescent="0.15">
      <c r="A72" s="12">
        <f>A64</f>
        <v>2013</v>
      </c>
      <c r="B72" s="104">
        <f>(C53-C52)/(E53-E52)</f>
        <v>0</v>
      </c>
    </row>
    <row r="73" spans="1:3" x14ac:dyDescent="0.15">
      <c r="A73" s="12">
        <f>A65</f>
        <v>2014</v>
      </c>
      <c r="B73" s="104">
        <f>(C54-C53)/(E54-E53)</f>
        <v>0</v>
      </c>
    </row>
    <row r="74" spans="1:3" x14ac:dyDescent="0.15">
      <c r="A74" s="12"/>
    </row>
    <row r="75" spans="1:3" x14ac:dyDescent="0.15">
      <c r="A75" s="28" t="s">
        <v>600</v>
      </c>
    </row>
    <row r="76" spans="1:3" x14ac:dyDescent="0.15">
      <c r="A76" s="9"/>
    </row>
    <row r="77" spans="1:3" x14ac:dyDescent="0.15">
      <c r="A77" s="9"/>
    </row>
    <row r="78" spans="1:3" x14ac:dyDescent="0.15">
      <c r="A78" s="9"/>
    </row>
    <row r="79" spans="1:3" x14ac:dyDescent="0.15">
      <c r="A79" s="9"/>
    </row>
    <row r="80" spans="1:3" x14ac:dyDescent="0.15">
      <c r="A80" s="9"/>
    </row>
    <row r="81" spans="1:1" x14ac:dyDescent="0.15">
      <c r="A81" s="9"/>
    </row>
    <row r="82" spans="1:1" x14ac:dyDescent="0.15">
      <c r="A82" s="9"/>
    </row>
    <row r="83" spans="1:1" x14ac:dyDescent="0.15">
      <c r="A83" s="9"/>
    </row>
    <row r="84" spans="1:1" x14ac:dyDescent="0.15">
      <c r="A84" s="9"/>
    </row>
    <row r="85" spans="1:1" x14ac:dyDescent="0.15">
      <c r="A85" s="9"/>
    </row>
    <row r="86" spans="1:1" x14ac:dyDescent="0.15">
      <c r="A86" s="9"/>
    </row>
    <row r="87" spans="1:1" x14ac:dyDescent="0.15">
      <c r="A87" s="9"/>
    </row>
    <row r="88" spans="1:1" x14ac:dyDescent="0.15">
      <c r="A88" s="9"/>
    </row>
    <row r="89" spans="1:1" x14ac:dyDescent="0.15">
      <c r="A89" s="9"/>
    </row>
    <row r="90" spans="1:1" x14ac:dyDescent="0.15">
      <c r="A90" s="9"/>
    </row>
    <row r="91" spans="1:1" x14ac:dyDescent="0.15">
      <c r="A91" s="9"/>
    </row>
    <row r="92" spans="1:1" x14ac:dyDescent="0.15">
      <c r="A92" s="9"/>
    </row>
    <row r="93" spans="1:1" x14ac:dyDescent="0.15">
      <c r="A93" s="9"/>
    </row>
    <row r="94" spans="1:1" x14ac:dyDescent="0.15">
      <c r="A94" s="9"/>
    </row>
    <row r="95" spans="1:1" x14ac:dyDescent="0.15">
      <c r="A95" s="9"/>
    </row>
    <row r="96" spans="1:1" x14ac:dyDescent="0.15">
      <c r="A96" s="9"/>
    </row>
    <row r="97" spans="1:1" x14ac:dyDescent="0.15">
      <c r="A97" s="9"/>
    </row>
    <row r="98" spans="1:1" x14ac:dyDescent="0.15">
      <c r="A98" s="9"/>
    </row>
    <row r="99" spans="1:1" x14ac:dyDescent="0.15">
      <c r="A99" s="9"/>
    </row>
    <row r="100" spans="1:1" x14ac:dyDescent="0.15">
      <c r="A100" s="9"/>
    </row>
  </sheetData>
  <phoneticPr fontId="4" type="noConversion"/>
  <pageMargins left="0.7" right="0.7" top="0.75" bottom="0.75" header="0.3" footer="0.3"/>
  <pageSetup paperSize="9" scale="60" fitToHeight="0" orientation="portrait" r:id="rId1"/>
  <drawing r:id="rId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E155"/>
  <sheetViews>
    <sheetView showGridLines="0" workbookViewId="0">
      <selection activeCell="C20" sqref="C20"/>
    </sheetView>
  </sheetViews>
  <sheetFormatPr baseColWidth="10" defaultColWidth="10.6640625" defaultRowHeight="14" x14ac:dyDescent="0.15"/>
  <cols>
    <col min="1" max="1" width="26.5" style="322" customWidth="1"/>
    <col min="2" max="3" width="10.6640625" style="9"/>
    <col min="4" max="4" width="15.5" style="9" bestFit="1" customWidth="1"/>
    <col min="5" max="5" width="12" style="9" bestFit="1" customWidth="1"/>
    <col min="6" max="16384" width="10.6640625" style="9"/>
  </cols>
  <sheetData>
    <row r="1" spans="1:4" ht="30" x14ac:dyDescent="0.15">
      <c r="A1" s="32" t="s">
        <v>352</v>
      </c>
      <c r="B1" s="107" t="s">
        <v>602</v>
      </c>
      <c r="C1" s="107" t="s">
        <v>603</v>
      </c>
    </row>
    <row r="2" spans="1:4" ht="15" x14ac:dyDescent="0.15">
      <c r="A2" s="322" t="s">
        <v>878</v>
      </c>
      <c r="B2" s="43">
        <v>100</v>
      </c>
      <c r="C2" s="43">
        <f>C7/B7*B2</f>
        <v>200</v>
      </c>
      <c r="D2" s="9" t="s">
        <v>853</v>
      </c>
    </row>
    <row r="3" spans="1:4" ht="15" x14ac:dyDescent="0.15">
      <c r="A3" s="322" t="s">
        <v>157</v>
      </c>
      <c r="B3" s="9">
        <v>1</v>
      </c>
      <c r="C3" s="9">
        <f>B3</f>
        <v>1</v>
      </c>
      <c r="D3" s="9" t="s">
        <v>39</v>
      </c>
    </row>
    <row r="5" spans="1:4" ht="15" x14ac:dyDescent="0.15">
      <c r="A5" s="322" t="s">
        <v>607</v>
      </c>
      <c r="B5" s="43">
        <v>25</v>
      </c>
      <c r="C5" s="43">
        <f>B5</f>
        <v>25</v>
      </c>
      <c r="D5" s="9" t="s">
        <v>853</v>
      </c>
    </row>
    <row r="6" spans="1:4" ht="15" x14ac:dyDescent="0.15">
      <c r="A6" s="322" t="s">
        <v>606</v>
      </c>
      <c r="B6" s="104">
        <v>0.25</v>
      </c>
      <c r="C6" s="164">
        <f>B7/C7*B6</f>
        <v>0.125</v>
      </c>
      <c r="D6" s="9" t="s">
        <v>878</v>
      </c>
    </row>
    <row r="7" spans="1:4" ht="15" x14ac:dyDescent="0.15">
      <c r="A7" s="322" t="s">
        <v>604</v>
      </c>
      <c r="B7" s="43">
        <v>75</v>
      </c>
      <c r="C7" s="43">
        <v>150</v>
      </c>
      <c r="D7" s="9" t="s">
        <v>813</v>
      </c>
    </row>
    <row r="8" spans="1:4" ht="15" x14ac:dyDescent="0.15">
      <c r="A8" s="322" t="s">
        <v>156</v>
      </c>
      <c r="B8" s="43">
        <f>B3*B7/B5</f>
        <v>3</v>
      </c>
      <c r="C8" s="43">
        <f>C3*C7/C5</f>
        <v>6</v>
      </c>
    </row>
    <row r="10" spans="1:4" ht="15" x14ac:dyDescent="0.15">
      <c r="A10" s="329" t="s">
        <v>605</v>
      </c>
      <c r="B10" s="281">
        <f>(B2/B3-B7)/(1+B8)</f>
        <v>6.25</v>
      </c>
      <c r="C10" s="281">
        <f>(C2/C3-C7)/(1+C8)</f>
        <v>7.1428571428571432</v>
      </c>
      <c r="D10" s="13" t="s">
        <v>813</v>
      </c>
    </row>
    <row r="12" spans="1:4" x14ac:dyDescent="0.15">
      <c r="A12" s="293" t="s">
        <v>608</v>
      </c>
    </row>
    <row r="13" spans="1:4" s="272" customFormat="1" x14ac:dyDescent="0.15">
      <c r="A13" s="269" t="s">
        <v>609</v>
      </c>
      <c r="B13" s="171">
        <f>(B6/B7)/(B3/B2+B6/B7)</f>
        <v>0.25</v>
      </c>
      <c r="C13" s="171">
        <f>(C6/C7)/(C3/C2+C6/C7)</f>
        <v>0.14285714285714285</v>
      </c>
    </row>
    <row r="14" spans="1:4" s="272" customFormat="1" x14ac:dyDescent="0.15">
      <c r="A14" s="269" t="s">
        <v>610</v>
      </c>
      <c r="B14" s="171">
        <f>B6/(1+B6)</f>
        <v>0.2</v>
      </c>
      <c r="C14" s="171">
        <f>C6/(1+C6)</f>
        <v>0.1111111111111111</v>
      </c>
    </row>
    <row r="15" spans="1:4" s="272" customFormat="1" x14ac:dyDescent="0.15">
      <c r="A15" s="269" t="s">
        <v>611</v>
      </c>
      <c r="B15" s="401">
        <f>B13-B14</f>
        <v>4.9999999999999989E-2</v>
      </c>
      <c r="C15" s="401">
        <f>C13-C14</f>
        <v>3.1746031746031744E-2</v>
      </c>
    </row>
    <row r="16" spans="1:4" s="272" customFormat="1" x14ac:dyDescent="0.15">
      <c r="A16" s="268"/>
    </row>
    <row r="17" spans="1:4" s="272" customFormat="1" x14ac:dyDescent="0.15">
      <c r="A17" s="269" t="s">
        <v>612</v>
      </c>
      <c r="B17" s="402">
        <f>(B2+B5)/((B3+B5/B7)*B2/B3)</f>
        <v>0.93750000000000011</v>
      </c>
      <c r="C17" s="402">
        <f>(C2+C5)/((C3+C5/C7)*C2/C3)</f>
        <v>0.9642857142857143</v>
      </c>
    </row>
    <row r="19" spans="1:4" ht="15" x14ac:dyDescent="0.15">
      <c r="A19" s="322" t="s">
        <v>156</v>
      </c>
      <c r="B19" s="24">
        <f>B8</f>
        <v>3</v>
      </c>
      <c r="C19" s="24">
        <f>C8</f>
        <v>6</v>
      </c>
    </row>
    <row r="21" spans="1:4" x14ac:dyDescent="0.15">
      <c r="A21" s="293" t="s">
        <v>613</v>
      </c>
    </row>
    <row r="22" spans="1:4" ht="15" x14ac:dyDescent="0.15">
      <c r="A22" s="322" t="s">
        <v>614</v>
      </c>
      <c r="B22" s="9">
        <v>90</v>
      </c>
      <c r="C22" s="9">
        <v>90</v>
      </c>
    </row>
    <row r="24" spans="1:4" ht="15" x14ac:dyDescent="0.15">
      <c r="A24" s="322" t="s">
        <v>615</v>
      </c>
      <c r="B24" s="9">
        <v>72</v>
      </c>
      <c r="C24" s="9">
        <v>72</v>
      </c>
    </row>
    <row r="25" spans="1:4" ht="30" x14ac:dyDescent="0.15">
      <c r="A25" s="322" t="s">
        <v>616</v>
      </c>
      <c r="B25" s="24">
        <f>B24*B10</f>
        <v>450</v>
      </c>
      <c r="C25" s="24">
        <f>C24*C10</f>
        <v>514.28571428571433</v>
      </c>
      <c r="D25" s="9" t="s">
        <v>813</v>
      </c>
    </row>
    <row r="26" spans="1:4" ht="30" x14ac:dyDescent="0.15">
      <c r="A26" s="322" t="s">
        <v>617</v>
      </c>
      <c r="B26" s="24">
        <f>B7*(B22-B24)/B8</f>
        <v>450</v>
      </c>
      <c r="C26" s="24">
        <f>C7*(C22-C24)/C8</f>
        <v>450</v>
      </c>
      <c r="D26" s="9" t="s">
        <v>813</v>
      </c>
    </row>
    <row r="27" spans="1:4" ht="15" x14ac:dyDescent="0.15">
      <c r="A27" s="322" t="s">
        <v>618</v>
      </c>
      <c r="B27" s="24">
        <f>B25-B26</f>
        <v>0</v>
      </c>
      <c r="C27" s="24">
        <f>C25-C26</f>
        <v>64.285714285714334</v>
      </c>
      <c r="D27" s="9" t="s">
        <v>813</v>
      </c>
    </row>
    <row r="28" spans="1:4" ht="15" x14ac:dyDescent="0.15">
      <c r="A28" s="329" t="s">
        <v>619</v>
      </c>
      <c r="B28" s="13">
        <f>B26/B7</f>
        <v>6</v>
      </c>
      <c r="C28" s="13">
        <f>C26/C7</f>
        <v>3</v>
      </c>
      <c r="D28" s="13" t="s">
        <v>467</v>
      </c>
    </row>
    <row r="30" spans="1:4" x14ac:dyDescent="0.15">
      <c r="A30" s="293" t="s">
        <v>622</v>
      </c>
    </row>
    <row r="31" spans="1:4" ht="15" x14ac:dyDescent="0.15">
      <c r="A31" s="322" t="s">
        <v>620</v>
      </c>
      <c r="B31" s="205">
        <f>B22/B3/1000000</f>
        <v>9.0000000000000006E-5</v>
      </c>
      <c r="C31" s="205">
        <f>C22/C3/1000000</f>
        <v>9.0000000000000006E-5</v>
      </c>
    </row>
    <row r="33" spans="1:4" ht="15" x14ac:dyDescent="0.15">
      <c r="A33" s="329" t="s">
        <v>621</v>
      </c>
      <c r="B33" s="403">
        <f>B31*(1-B14)</f>
        <v>7.2000000000000002E-5</v>
      </c>
      <c r="C33" s="403">
        <f>C31*(1-C14)</f>
        <v>8.0000000000000007E-5</v>
      </c>
      <c r="D33" s="404"/>
    </row>
    <row r="34" spans="1:4" x14ac:dyDescent="0.15">
      <c r="A34" s="329"/>
      <c r="B34" s="403">
        <f>(B22+B28)/(B3*1000000*(1+1/B19))</f>
        <v>7.2000000000000002E-5</v>
      </c>
      <c r="C34" s="403">
        <f>(C22+C28)/(C3*1000000*(1+1/C19))</f>
        <v>7.9714285714285702E-5</v>
      </c>
      <c r="D34" s="404"/>
    </row>
    <row r="36" spans="1:4" x14ac:dyDescent="0.15">
      <c r="A36" s="293" t="s">
        <v>623</v>
      </c>
    </row>
    <row r="38" spans="1:4" ht="15" x14ac:dyDescent="0.15">
      <c r="A38" s="322" t="s">
        <v>624</v>
      </c>
      <c r="B38" s="104">
        <v>0.12</v>
      </c>
      <c r="C38" s="104">
        <v>0.12</v>
      </c>
    </row>
    <row r="39" spans="1:4" ht="15" x14ac:dyDescent="0.15">
      <c r="A39" s="322" t="s">
        <v>152</v>
      </c>
      <c r="B39" s="24">
        <f>B6*B2</f>
        <v>25</v>
      </c>
      <c r="C39" s="24">
        <f>C6*C2</f>
        <v>25</v>
      </c>
      <c r="D39" s="9" t="s">
        <v>853</v>
      </c>
    </row>
    <row r="40" spans="1:4" ht="15" x14ac:dyDescent="0.15">
      <c r="A40" s="322" t="s">
        <v>625</v>
      </c>
      <c r="B40" s="104">
        <f>B38</f>
        <v>0.12</v>
      </c>
      <c r="C40" s="104">
        <f>C38</f>
        <v>0.12</v>
      </c>
    </row>
    <row r="41" spans="1:4" ht="15" x14ac:dyDescent="0.15">
      <c r="A41" s="322" t="s">
        <v>626</v>
      </c>
      <c r="B41" s="9">
        <f>B39*B40/B7*1000000</f>
        <v>40000</v>
      </c>
      <c r="C41" s="9">
        <f>C39*C40/C7*1000000</f>
        <v>20000</v>
      </c>
    </row>
    <row r="43" spans="1:4" ht="30" x14ac:dyDescent="0.15">
      <c r="A43" s="329" t="s">
        <v>627</v>
      </c>
      <c r="B43" s="405">
        <f>(B38*B3*1000000+B41)/(B3*1000000+B39*1000000/B7)</f>
        <v>0.12000000000000001</v>
      </c>
      <c r="C43" s="405">
        <f>(C38*C3*1000000+C41)/(C3*1000000+C39*1000000/C7)</f>
        <v>0.12</v>
      </c>
    </row>
    <row r="45" spans="1:4" x14ac:dyDescent="0.15">
      <c r="A45" s="293" t="s">
        <v>628</v>
      </c>
    </row>
    <row r="46" spans="1:4" ht="15" x14ac:dyDescent="0.15">
      <c r="A46" s="322" t="s">
        <v>629</v>
      </c>
      <c r="B46" s="24">
        <v>10</v>
      </c>
      <c r="C46" s="24">
        <v>10</v>
      </c>
      <c r="D46" s="9" t="s">
        <v>813</v>
      </c>
    </row>
    <row r="47" spans="1:4" ht="15" x14ac:dyDescent="0.15">
      <c r="A47" s="329" t="s">
        <v>628</v>
      </c>
      <c r="B47" s="281">
        <f>B46*(1-B13)</f>
        <v>7.5</v>
      </c>
      <c r="C47" s="281">
        <f>C46*(1-C13)</f>
        <v>8.571428571428573</v>
      </c>
      <c r="D47" s="13" t="s">
        <v>813</v>
      </c>
    </row>
    <row r="49" spans="1:4" x14ac:dyDescent="0.15">
      <c r="A49" s="293" t="s">
        <v>630</v>
      </c>
    </row>
    <row r="50" spans="1:4" ht="15" x14ac:dyDescent="0.15">
      <c r="A50" s="322" t="s">
        <v>631</v>
      </c>
      <c r="B50" s="24">
        <v>80</v>
      </c>
      <c r="C50" s="24">
        <v>80</v>
      </c>
      <c r="D50" s="9" t="s">
        <v>853</v>
      </c>
    </row>
    <row r="51" spans="1:4" ht="15" x14ac:dyDescent="0.15">
      <c r="A51" s="322" t="s">
        <v>632</v>
      </c>
      <c r="B51" s="24">
        <f>B50+B39</f>
        <v>105</v>
      </c>
      <c r="C51" s="24">
        <f>C50+C39</f>
        <v>105</v>
      </c>
      <c r="D51" s="9" t="s">
        <v>853</v>
      </c>
    </row>
    <row r="52" spans="1:4" ht="15" x14ac:dyDescent="0.15">
      <c r="A52" s="329" t="s">
        <v>630</v>
      </c>
      <c r="B52" s="214">
        <f>(B51-B50)/B50</f>
        <v>0.3125</v>
      </c>
      <c r="C52" s="214">
        <f>(C51-C50)/C50</f>
        <v>0.3125</v>
      </c>
    </row>
    <row r="54" spans="1:4" ht="15" x14ac:dyDescent="0.15">
      <c r="A54" s="329" t="s">
        <v>633</v>
      </c>
      <c r="B54" s="281">
        <f>B50/B3</f>
        <v>80</v>
      </c>
      <c r="C54" s="281">
        <f>C50/C3</f>
        <v>80</v>
      </c>
      <c r="D54" s="9" t="s">
        <v>813</v>
      </c>
    </row>
    <row r="55" spans="1:4" ht="15" x14ac:dyDescent="0.15">
      <c r="A55" s="329" t="s">
        <v>634</v>
      </c>
      <c r="B55" s="281">
        <f>B51/(B3+B2*B6/B7)</f>
        <v>78.75</v>
      </c>
      <c r="C55" s="281">
        <f>C51/(C3+C2*C6/C7)</f>
        <v>90</v>
      </c>
      <c r="D55" s="9" t="s">
        <v>813</v>
      </c>
    </row>
    <row r="58" spans="1:4" x14ac:dyDescent="0.15">
      <c r="A58" s="32" t="s">
        <v>1291</v>
      </c>
    </row>
    <row r="59" spans="1:4" x14ac:dyDescent="0.15">
      <c r="A59" s="32"/>
    </row>
    <row r="60" spans="1:4" x14ac:dyDescent="0.15">
      <c r="A60" s="124" t="s">
        <v>1185</v>
      </c>
    </row>
    <row r="61" spans="1:4" x14ac:dyDescent="0.15">
      <c r="A61" s="124" t="s">
        <v>157</v>
      </c>
      <c r="B61" s="9">
        <v>382.6</v>
      </c>
      <c r="C61" s="9" t="s">
        <v>39</v>
      </c>
    </row>
    <row r="62" spans="1:4" x14ac:dyDescent="0.15">
      <c r="A62" s="124" t="s">
        <v>1186</v>
      </c>
      <c r="B62" s="9">
        <v>27.75</v>
      </c>
      <c r="C62" s="9" t="s">
        <v>806</v>
      </c>
    </row>
    <row r="63" spans="1:4" x14ac:dyDescent="0.15">
      <c r="A63" s="124" t="s">
        <v>85</v>
      </c>
      <c r="B63" s="16">
        <v>14.3</v>
      </c>
      <c r="C63" s="9" t="s">
        <v>1292</v>
      </c>
    </row>
    <row r="64" spans="1:4" x14ac:dyDescent="0.15">
      <c r="A64" s="124" t="s">
        <v>1090</v>
      </c>
      <c r="B64" s="16">
        <f>+B62*B61/1000</f>
        <v>10.617150000000002</v>
      </c>
      <c r="C64" s="9" t="s">
        <v>1292</v>
      </c>
    </row>
    <row r="65" spans="1:5" x14ac:dyDescent="0.15">
      <c r="A65" s="124"/>
    </row>
    <row r="66" spans="1:5" x14ac:dyDescent="0.15">
      <c r="A66" s="124" t="s">
        <v>1187</v>
      </c>
    </row>
    <row r="67" spans="1:5" x14ac:dyDescent="0.15">
      <c r="A67" s="124" t="s">
        <v>154</v>
      </c>
      <c r="B67" s="9">
        <v>109.3</v>
      </c>
      <c r="C67" s="9" t="s">
        <v>39</v>
      </c>
    </row>
    <row r="68" spans="1:5" x14ac:dyDescent="0.15">
      <c r="A68" s="124" t="s">
        <v>635</v>
      </c>
      <c r="B68" s="9">
        <v>14</v>
      </c>
      <c r="C68" s="9" t="s">
        <v>806</v>
      </c>
    </row>
    <row r="69" spans="1:5" x14ac:dyDescent="0.15">
      <c r="A69" s="124"/>
    </row>
    <row r="70" spans="1:5" x14ac:dyDescent="0.15">
      <c r="A70" s="124" t="s">
        <v>152</v>
      </c>
      <c r="B70" s="15">
        <f>+B68*B67/1000</f>
        <v>1.5302</v>
      </c>
      <c r="C70" s="9" t="s">
        <v>1292</v>
      </c>
    </row>
    <row r="71" spans="1:5" x14ac:dyDescent="0.15">
      <c r="A71" s="124"/>
    </row>
    <row r="72" spans="1:5" x14ac:dyDescent="0.15">
      <c r="A72" s="124" t="s">
        <v>1184</v>
      </c>
      <c r="B72" s="105">
        <f>+B70/(B70+B64)</f>
        <v>0.12596986173939168</v>
      </c>
    </row>
    <row r="73" spans="1:5" x14ac:dyDescent="0.15">
      <c r="A73" s="124"/>
      <c r="B73" s="31">
        <f>+B67*B74/B61</f>
        <v>1.9997386304234186</v>
      </c>
      <c r="C73" s="9" t="s">
        <v>1188</v>
      </c>
    </row>
    <row r="74" spans="1:5" x14ac:dyDescent="0.15">
      <c r="A74" s="27" t="s">
        <v>883</v>
      </c>
      <c r="B74" s="31">
        <v>7</v>
      </c>
      <c r="C74" s="9" t="s">
        <v>1189</v>
      </c>
    </row>
    <row r="75" spans="1:5" x14ac:dyDescent="0.15">
      <c r="A75" s="124"/>
      <c r="B75" s="31"/>
    </row>
    <row r="76" spans="1:5" x14ac:dyDescent="0.15">
      <c r="A76" s="124" t="s">
        <v>158</v>
      </c>
      <c r="B76" s="15">
        <f>(B62-B68)/(1+B74/B73)</f>
        <v>3.0552449684895304</v>
      </c>
    </row>
    <row r="77" spans="1:5" ht="45" x14ac:dyDescent="0.15">
      <c r="A77" s="406" t="s">
        <v>1363</v>
      </c>
      <c r="B77" s="105">
        <f>+B68/(B62-B76)-1</f>
        <v>-0.43307799643543654</v>
      </c>
    </row>
    <row r="78" spans="1:5" x14ac:dyDescent="0.15">
      <c r="B78" s="24"/>
      <c r="C78" s="24"/>
      <c r="D78" s="313"/>
      <c r="E78" s="313"/>
    </row>
    <row r="79" spans="1:5" x14ac:dyDescent="0.15">
      <c r="B79" s="24"/>
      <c r="C79" s="24"/>
      <c r="D79" s="313"/>
      <c r="E79" s="313"/>
    </row>
    <row r="80" spans="1:5" x14ac:dyDescent="0.15">
      <c r="B80" s="24"/>
      <c r="C80" s="24"/>
      <c r="D80" s="313"/>
      <c r="E80" s="313"/>
    </row>
    <row r="81" spans="2:5" x14ac:dyDescent="0.15">
      <c r="B81" s="24"/>
      <c r="C81" s="24"/>
      <c r="D81" s="313"/>
      <c r="E81" s="313"/>
    </row>
    <row r="82" spans="2:5" x14ac:dyDescent="0.15">
      <c r="B82" s="24"/>
      <c r="C82" s="24"/>
      <c r="D82" s="313"/>
      <c r="E82" s="313"/>
    </row>
    <row r="83" spans="2:5" x14ac:dyDescent="0.15">
      <c r="B83" s="24"/>
      <c r="C83" s="24"/>
      <c r="D83" s="313"/>
      <c r="E83" s="313"/>
    </row>
    <row r="84" spans="2:5" x14ac:dyDescent="0.15">
      <c r="B84" s="24"/>
      <c r="C84" s="24"/>
      <c r="D84" s="313"/>
      <c r="E84" s="313"/>
    </row>
    <row r="85" spans="2:5" x14ac:dyDescent="0.15">
      <c r="B85" s="24"/>
      <c r="C85" s="24"/>
      <c r="D85" s="313"/>
      <c r="E85" s="313"/>
    </row>
    <row r="86" spans="2:5" x14ac:dyDescent="0.15">
      <c r="B86" s="24"/>
      <c r="C86" s="24"/>
      <c r="D86" s="313"/>
      <c r="E86" s="313"/>
    </row>
    <row r="87" spans="2:5" x14ac:dyDescent="0.15">
      <c r="B87" s="24"/>
      <c r="C87" s="24"/>
      <c r="D87" s="313"/>
      <c r="E87" s="313"/>
    </row>
    <row r="88" spans="2:5" x14ac:dyDescent="0.15">
      <c r="B88" s="24"/>
      <c r="C88" s="24"/>
      <c r="D88" s="313"/>
      <c r="E88" s="313"/>
    </row>
    <row r="89" spans="2:5" x14ac:dyDescent="0.15">
      <c r="B89" s="24"/>
      <c r="C89" s="24"/>
      <c r="D89" s="313"/>
      <c r="E89" s="313"/>
    </row>
    <row r="90" spans="2:5" x14ac:dyDescent="0.15">
      <c r="B90" s="24"/>
      <c r="C90" s="24"/>
      <c r="D90" s="313"/>
      <c r="E90" s="313"/>
    </row>
    <row r="91" spans="2:5" x14ac:dyDescent="0.15">
      <c r="B91" s="24"/>
      <c r="C91" s="24"/>
      <c r="D91" s="313"/>
      <c r="E91" s="313"/>
    </row>
    <row r="92" spans="2:5" x14ac:dyDescent="0.15">
      <c r="B92" s="24"/>
      <c r="C92" s="24"/>
    </row>
    <row r="93" spans="2:5" x14ac:dyDescent="0.15">
      <c r="B93" s="24"/>
      <c r="C93" s="24"/>
    </row>
    <row r="94" spans="2:5" x14ac:dyDescent="0.15">
      <c r="B94" s="24"/>
      <c r="C94" s="24"/>
    </row>
    <row r="95" spans="2:5" x14ac:dyDescent="0.15">
      <c r="B95" s="24"/>
      <c r="C95" s="24"/>
    </row>
    <row r="96" spans="2:5" x14ac:dyDescent="0.15">
      <c r="B96" s="24"/>
      <c r="C96" s="24"/>
    </row>
    <row r="97" spans="2:3" x14ac:dyDescent="0.15">
      <c r="B97" s="24"/>
      <c r="C97" s="24"/>
    </row>
    <row r="98" spans="2:3" x14ac:dyDescent="0.15">
      <c r="B98" s="24"/>
      <c r="C98" s="24"/>
    </row>
    <row r="99" spans="2:3" x14ac:dyDescent="0.15">
      <c r="B99" s="24"/>
      <c r="C99" s="24"/>
    </row>
    <row r="100" spans="2:3" x14ac:dyDescent="0.15">
      <c r="B100" s="24"/>
      <c r="C100" s="24"/>
    </row>
    <row r="101" spans="2:3" x14ac:dyDescent="0.15">
      <c r="B101" s="24"/>
    </row>
    <row r="102" spans="2:3" x14ac:dyDescent="0.15">
      <c r="B102" s="24"/>
    </row>
    <row r="103" spans="2:3" x14ac:dyDescent="0.15">
      <c r="B103" s="24"/>
    </row>
    <row r="104" spans="2:3" x14ac:dyDescent="0.15">
      <c r="B104" s="24"/>
    </row>
    <row r="105" spans="2:3" x14ac:dyDescent="0.15">
      <c r="B105" s="24"/>
      <c r="C105" s="24"/>
    </row>
    <row r="106" spans="2:3" x14ac:dyDescent="0.15">
      <c r="B106" s="24"/>
      <c r="C106" s="24"/>
    </row>
    <row r="107" spans="2:3" x14ac:dyDescent="0.15">
      <c r="B107" s="24"/>
      <c r="C107" s="24"/>
    </row>
    <row r="108" spans="2:3" x14ac:dyDescent="0.15">
      <c r="B108" s="24"/>
      <c r="C108" s="24"/>
    </row>
    <row r="109" spans="2:3" x14ac:dyDescent="0.15">
      <c r="B109" s="24"/>
      <c r="C109" s="24"/>
    </row>
    <row r="110" spans="2:3" x14ac:dyDescent="0.15">
      <c r="B110" s="24"/>
      <c r="C110" s="24"/>
    </row>
    <row r="111" spans="2:3" x14ac:dyDescent="0.15">
      <c r="B111" s="24"/>
      <c r="C111" s="24"/>
    </row>
    <row r="112" spans="2:3" x14ac:dyDescent="0.15">
      <c r="B112" s="24"/>
      <c r="C112" s="24"/>
    </row>
    <row r="113" spans="2:3" x14ac:dyDescent="0.15">
      <c r="B113" s="24"/>
      <c r="C113" s="24"/>
    </row>
    <row r="114" spans="2:3" x14ac:dyDescent="0.15">
      <c r="B114" s="24"/>
      <c r="C114" s="24"/>
    </row>
    <row r="115" spans="2:3" x14ac:dyDescent="0.15">
      <c r="B115" s="24"/>
      <c r="C115" s="24"/>
    </row>
    <row r="116" spans="2:3" x14ac:dyDescent="0.15">
      <c r="B116" s="24"/>
      <c r="C116" s="24"/>
    </row>
    <row r="117" spans="2:3" x14ac:dyDescent="0.15">
      <c r="B117" s="24"/>
      <c r="C117" s="24"/>
    </row>
    <row r="118" spans="2:3" x14ac:dyDescent="0.15">
      <c r="B118" s="24"/>
      <c r="C118" s="24"/>
    </row>
    <row r="119" spans="2:3" x14ac:dyDescent="0.15">
      <c r="B119" s="24"/>
      <c r="C119" s="24"/>
    </row>
    <row r="120" spans="2:3" x14ac:dyDescent="0.15">
      <c r="B120" s="24"/>
      <c r="C120" s="24"/>
    </row>
    <row r="121" spans="2:3" x14ac:dyDescent="0.15">
      <c r="B121" s="24"/>
      <c r="C121" s="24"/>
    </row>
    <row r="122" spans="2:3" x14ac:dyDescent="0.15">
      <c r="B122" s="24"/>
      <c r="C122" s="24"/>
    </row>
    <row r="123" spans="2:3" x14ac:dyDescent="0.15">
      <c r="B123" s="24"/>
      <c r="C123" s="24"/>
    </row>
    <row r="124" spans="2:3" x14ac:dyDescent="0.15">
      <c r="B124" s="24"/>
      <c r="C124" s="24"/>
    </row>
    <row r="125" spans="2:3" x14ac:dyDescent="0.15">
      <c r="B125" s="24"/>
      <c r="C125" s="24"/>
    </row>
    <row r="126" spans="2:3" x14ac:dyDescent="0.15">
      <c r="B126" s="24"/>
      <c r="C126" s="24"/>
    </row>
    <row r="127" spans="2:3" x14ac:dyDescent="0.15">
      <c r="B127" s="24"/>
      <c r="C127" s="24"/>
    </row>
    <row r="128" spans="2:3" x14ac:dyDescent="0.15">
      <c r="B128" s="24"/>
      <c r="C128" s="24"/>
    </row>
    <row r="129" spans="2:3" x14ac:dyDescent="0.15">
      <c r="B129" s="24"/>
      <c r="C129" s="24"/>
    </row>
    <row r="130" spans="2:3" x14ac:dyDescent="0.15">
      <c r="B130" s="24"/>
      <c r="C130" s="24"/>
    </row>
    <row r="131" spans="2:3" x14ac:dyDescent="0.15">
      <c r="B131" s="24"/>
      <c r="C131" s="24"/>
    </row>
    <row r="132" spans="2:3" x14ac:dyDescent="0.15">
      <c r="B132" s="24"/>
      <c r="C132" s="24"/>
    </row>
    <row r="133" spans="2:3" x14ac:dyDescent="0.15">
      <c r="B133" s="24"/>
      <c r="C133" s="24"/>
    </row>
    <row r="134" spans="2:3" x14ac:dyDescent="0.15">
      <c r="B134" s="24"/>
      <c r="C134" s="24"/>
    </row>
    <row r="135" spans="2:3" x14ac:dyDescent="0.15">
      <c r="B135" s="24"/>
      <c r="C135" s="24"/>
    </row>
    <row r="136" spans="2:3" x14ac:dyDescent="0.15">
      <c r="B136" s="24"/>
      <c r="C136" s="24"/>
    </row>
    <row r="137" spans="2:3" x14ac:dyDescent="0.15">
      <c r="B137" s="24"/>
      <c r="C137" s="24"/>
    </row>
    <row r="138" spans="2:3" x14ac:dyDescent="0.15">
      <c r="B138" s="24"/>
      <c r="C138" s="24"/>
    </row>
    <row r="139" spans="2:3" x14ac:dyDescent="0.15">
      <c r="B139" s="24"/>
      <c r="C139" s="24"/>
    </row>
    <row r="140" spans="2:3" x14ac:dyDescent="0.15">
      <c r="B140" s="24"/>
      <c r="C140" s="24"/>
    </row>
    <row r="141" spans="2:3" x14ac:dyDescent="0.15">
      <c r="B141" s="24"/>
      <c r="C141" s="24"/>
    </row>
    <row r="142" spans="2:3" x14ac:dyDescent="0.15">
      <c r="B142" s="24"/>
      <c r="C142" s="24"/>
    </row>
    <row r="143" spans="2:3" x14ac:dyDescent="0.15">
      <c r="B143" s="24"/>
      <c r="C143" s="24"/>
    </row>
    <row r="144" spans="2:3" x14ac:dyDescent="0.15">
      <c r="B144" s="24"/>
      <c r="C144" s="24"/>
    </row>
    <row r="145" spans="2:3" x14ac:dyDescent="0.15">
      <c r="B145" s="24"/>
      <c r="C145" s="24"/>
    </row>
    <row r="146" spans="2:3" x14ac:dyDescent="0.15">
      <c r="B146" s="24"/>
      <c r="C146" s="24"/>
    </row>
    <row r="147" spans="2:3" x14ac:dyDescent="0.15">
      <c r="B147" s="24"/>
      <c r="C147" s="24"/>
    </row>
    <row r="148" spans="2:3" x14ac:dyDescent="0.15">
      <c r="B148" s="24"/>
      <c r="C148" s="24"/>
    </row>
    <row r="149" spans="2:3" x14ac:dyDescent="0.15">
      <c r="B149" s="24"/>
      <c r="C149" s="24"/>
    </row>
    <row r="150" spans="2:3" x14ac:dyDescent="0.15">
      <c r="B150" s="24"/>
      <c r="C150" s="24"/>
    </row>
    <row r="151" spans="2:3" x14ac:dyDescent="0.15">
      <c r="B151" s="24"/>
      <c r="C151" s="24"/>
    </row>
    <row r="152" spans="2:3" x14ac:dyDescent="0.15">
      <c r="B152" s="24"/>
      <c r="C152" s="24"/>
    </row>
    <row r="153" spans="2:3" x14ac:dyDescent="0.15">
      <c r="B153" s="24"/>
      <c r="C153" s="24"/>
    </row>
    <row r="154" spans="2:3" x14ac:dyDescent="0.15">
      <c r="B154" s="24"/>
      <c r="C154" s="24"/>
    </row>
    <row r="155" spans="2:3" x14ac:dyDescent="0.15">
      <c r="B155" s="24"/>
      <c r="C155" s="24"/>
    </row>
  </sheetData>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70"/>
  <sheetViews>
    <sheetView showGridLines="0" workbookViewId="0">
      <selection activeCell="C20" sqref="C20"/>
    </sheetView>
  </sheetViews>
  <sheetFormatPr baseColWidth="10" defaultRowHeight="13" x14ac:dyDescent="0.15"/>
  <cols>
    <col min="1" max="1" width="32.1640625" style="5" customWidth="1"/>
    <col min="2" max="2" width="12.5" bestFit="1" customWidth="1"/>
    <col min="257" max="257" width="28.1640625" customWidth="1"/>
    <col min="258" max="258" width="12.5" bestFit="1" customWidth="1"/>
    <col min="513" max="513" width="28.1640625" customWidth="1"/>
    <col min="514" max="514" width="12.5" bestFit="1" customWidth="1"/>
    <col min="769" max="769" width="28.1640625" customWidth="1"/>
    <col min="770" max="770" width="12.5" bestFit="1" customWidth="1"/>
    <col min="1025" max="1025" width="28.1640625" customWidth="1"/>
    <col min="1026" max="1026" width="12.5" bestFit="1" customWidth="1"/>
    <col min="1281" max="1281" width="28.1640625" customWidth="1"/>
    <col min="1282" max="1282" width="12.5" bestFit="1" customWidth="1"/>
    <col min="1537" max="1537" width="28.1640625" customWidth="1"/>
    <col min="1538" max="1538" width="12.5" bestFit="1" customWidth="1"/>
    <col min="1793" max="1793" width="28.1640625" customWidth="1"/>
    <col min="1794" max="1794" width="12.5" bestFit="1" customWidth="1"/>
    <col min="2049" max="2049" width="28.1640625" customWidth="1"/>
    <col min="2050" max="2050" width="12.5" bestFit="1" customWidth="1"/>
    <col min="2305" max="2305" width="28.1640625" customWidth="1"/>
    <col min="2306" max="2306" width="12.5" bestFit="1" customWidth="1"/>
    <col min="2561" max="2561" width="28.1640625" customWidth="1"/>
    <col min="2562" max="2562" width="12.5" bestFit="1" customWidth="1"/>
    <col min="2817" max="2817" width="28.1640625" customWidth="1"/>
    <col min="2818" max="2818" width="12.5" bestFit="1" customWidth="1"/>
    <col min="3073" max="3073" width="28.1640625" customWidth="1"/>
    <col min="3074" max="3074" width="12.5" bestFit="1" customWidth="1"/>
    <col min="3329" max="3329" width="28.1640625" customWidth="1"/>
    <col min="3330" max="3330" width="12.5" bestFit="1" customWidth="1"/>
    <col min="3585" max="3585" width="28.1640625" customWidth="1"/>
    <col min="3586" max="3586" width="12.5" bestFit="1" customWidth="1"/>
    <col min="3841" max="3841" width="28.1640625" customWidth="1"/>
    <col min="3842" max="3842" width="12.5" bestFit="1" customWidth="1"/>
    <col min="4097" max="4097" width="28.1640625" customWidth="1"/>
    <col min="4098" max="4098" width="12.5" bestFit="1" customWidth="1"/>
    <col min="4353" max="4353" width="28.1640625" customWidth="1"/>
    <col min="4354" max="4354" width="12.5" bestFit="1" customWidth="1"/>
    <col min="4609" max="4609" width="28.1640625" customWidth="1"/>
    <col min="4610" max="4610" width="12.5" bestFit="1" customWidth="1"/>
    <col min="4865" max="4865" width="28.1640625" customWidth="1"/>
    <col min="4866" max="4866" width="12.5" bestFit="1" customWidth="1"/>
    <col min="5121" max="5121" width="28.1640625" customWidth="1"/>
    <col min="5122" max="5122" width="12.5" bestFit="1" customWidth="1"/>
    <col min="5377" max="5377" width="28.1640625" customWidth="1"/>
    <col min="5378" max="5378" width="12.5" bestFit="1" customWidth="1"/>
    <col min="5633" max="5633" width="28.1640625" customWidth="1"/>
    <col min="5634" max="5634" width="12.5" bestFit="1" customWidth="1"/>
    <col min="5889" max="5889" width="28.1640625" customWidth="1"/>
    <col min="5890" max="5890" width="12.5" bestFit="1" customWidth="1"/>
    <col min="6145" max="6145" width="28.1640625" customWidth="1"/>
    <col min="6146" max="6146" width="12.5" bestFit="1" customWidth="1"/>
    <col min="6401" max="6401" width="28.1640625" customWidth="1"/>
    <col min="6402" max="6402" width="12.5" bestFit="1" customWidth="1"/>
    <col min="6657" max="6657" width="28.1640625" customWidth="1"/>
    <col min="6658" max="6658" width="12.5" bestFit="1" customWidth="1"/>
    <col min="6913" max="6913" width="28.1640625" customWidth="1"/>
    <col min="6914" max="6914" width="12.5" bestFit="1" customWidth="1"/>
    <col min="7169" max="7169" width="28.1640625" customWidth="1"/>
    <col min="7170" max="7170" width="12.5" bestFit="1" customWidth="1"/>
    <col min="7425" max="7425" width="28.1640625" customWidth="1"/>
    <col min="7426" max="7426" width="12.5" bestFit="1" customWidth="1"/>
    <col min="7681" max="7681" width="28.1640625" customWidth="1"/>
    <col min="7682" max="7682" width="12.5" bestFit="1" customWidth="1"/>
    <col min="7937" max="7937" width="28.1640625" customWidth="1"/>
    <col min="7938" max="7938" width="12.5" bestFit="1" customWidth="1"/>
    <col min="8193" max="8193" width="28.1640625" customWidth="1"/>
    <col min="8194" max="8194" width="12.5" bestFit="1" customWidth="1"/>
    <col min="8449" max="8449" width="28.1640625" customWidth="1"/>
    <col min="8450" max="8450" width="12.5" bestFit="1" customWidth="1"/>
    <col min="8705" max="8705" width="28.1640625" customWidth="1"/>
    <col min="8706" max="8706" width="12.5" bestFit="1" customWidth="1"/>
    <col min="8961" max="8961" width="28.1640625" customWidth="1"/>
    <col min="8962" max="8962" width="12.5" bestFit="1" customWidth="1"/>
    <col min="9217" max="9217" width="28.1640625" customWidth="1"/>
    <col min="9218" max="9218" width="12.5" bestFit="1" customWidth="1"/>
    <col min="9473" max="9473" width="28.1640625" customWidth="1"/>
    <col min="9474" max="9474" width="12.5" bestFit="1" customWidth="1"/>
    <col min="9729" max="9729" width="28.1640625" customWidth="1"/>
    <col min="9730" max="9730" width="12.5" bestFit="1" customWidth="1"/>
    <col min="9985" max="9985" width="28.1640625" customWidth="1"/>
    <col min="9986" max="9986" width="12.5" bestFit="1" customWidth="1"/>
    <col min="10241" max="10241" width="28.1640625" customWidth="1"/>
    <col min="10242" max="10242" width="12.5" bestFit="1" customWidth="1"/>
    <col min="10497" max="10497" width="28.1640625" customWidth="1"/>
    <col min="10498" max="10498" width="12.5" bestFit="1" customWidth="1"/>
    <col min="10753" max="10753" width="28.1640625" customWidth="1"/>
    <col min="10754" max="10754" width="12.5" bestFit="1" customWidth="1"/>
    <col min="11009" max="11009" width="28.1640625" customWidth="1"/>
    <col min="11010" max="11010" width="12.5" bestFit="1" customWidth="1"/>
    <col min="11265" max="11265" width="28.1640625" customWidth="1"/>
    <col min="11266" max="11266" width="12.5" bestFit="1" customWidth="1"/>
    <col min="11521" max="11521" width="28.1640625" customWidth="1"/>
    <col min="11522" max="11522" width="12.5" bestFit="1" customWidth="1"/>
    <col min="11777" max="11777" width="28.1640625" customWidth="1"/>
    <col min="11778" max="11778" width="12.5" bestFit="1" customWidth="1"/>
    <col min="12033" max="12033" width="28.1640625" customWidth="1"/>
    <col min="12034" max="12034" width="12.5" bestFit="1" customWidth="1"/>
    <col min="12289" max="12289" width="28.1640625" customWidth="1"/>
    <col min="12290" max="12290" width="12.5" bestFit="1" customWidth="1"/>
    <col min="12545" max="12545" width="28.1640625" customWidth="1"/>
    <col min="12546" max="12546" width="12.5" bestFit="1" customWidth="1"/>
    <col min="12801" max="12801" width="28.1640625" customWidth="1"/>
    <col min="12802" max="12802" width="12.5" bestFit="1" customWidth="1"/>
    <col min="13057" max="13057" width="28.1640625" customWidth="1"/>
    <col min="13058" max="13058" width="12.5" bestFit="1" customWidth="1"/>
    <col min="13313" max="13313" width="28.1640625" customWidth="1"/>
    <col min="13314" max="13314" width="12.5" bestFit="1" customWidth="1"/>
    <col min="13569" max="13569" width="28.1640625" customWidth="1"/>
    <col min="13570" max="13570" width="12.5" bestFit="1" customWidth="1"/>
    <col min="13825" max="13825" width="28.1640625" customWidth="1"/>
    <col min="13826" max="13826" width="12.5" bestFit="1" customWidth="1"/>
    <col min="14081" max="14081" width="28.1640625" customWidth="1"/>
    <col min="14082" max="14082" width="12.5" bestFit="1" customWidth="1"/>
    <col min="14337" max="14337" width="28.1640625" customWidth="1"/>
    <col min="14338" max="14338" width="12.5" bestFit="1" customWidth="1"/>
    <col min="14593" max="14593" width="28.1640625" customWidth="1"/>
    <col min="14594" max="14594" width="12.5" bestFit="1" customWidth="1"/>
    <col min="14849" max="14849" width="28.1640625" customWidth="1"/>
    <col min="14850" max="14850" width="12.5" bestFit="1" customWidth="1"/>
    <col min="15105" max="15105" width="28.1640625" customWidth="1"/>
    <col min="15106" max="15106" width="12.5" bestFit="1" customWidth="1"/>
    <col min="15361" max="15361" width="28.1640625" customWidth="1"/>
    <col min="15362" max="15362" width="12.5" bestFit="1" customWidth="1"/>
    <col min="15617" max="15617" width="28.1640625" customWidth="1"/>
    <col min="15618" max="15618" width="12.5" bestFit="1" customWidth="1"/>
    <col min="15873" max="15873" width="28.1640625" customWidth="1"/>
    <col min="15874" max="15874" width="12.5" bestFit="1" customWidth="1"/>
    <col min="16129" max="16129" width="28.1640625" customWidth="1"/>
    <col min="16130" max="16130" width="12.5" bestFit="1" customWidth="1"/>
  </cols>
  <sheetData>
    <row r="1" spans="1:2" ht="14" x14ac:dyDescent="0.15">
      <c r="A1" s="2" t="s">
        <v>352</v>
      </c>
    </row>
    <row r="2" spans="1:2" x14ac:dyDescent="0.15">
      <c r="A2" s="7"/>
    </row>
    <row r="3" spans="1:2" ht="14" x14ac:dyDescent="0.15">
      <c r="A3" s="407" t="s">
        <v>1368</v>
      </c>
      <c r="B3" s="3">
        <v>1</v>
      </c>
    </row>
    <row r="4" spans="1:2" ht="14" x14ac:dyDescent="0.15">
      <c r="A4" s="407" t="s">
        <v>1369</v>
      </c>
      <c r="B4" s="408">
        <v>0.2</v>
      </c>
    </row>
    <row r="5" spans="1:2" ht="14" x14ac:dyDescent="0.15">
      <c r="A5" s="407" t="s">
        <v>1370</v>
      </c>
      <c r="B5" s="3">
        <f>B3/B4</f>
        <v>5</v>
      </c>
    </row>
    <row r="6" spans="1:2" ht="14" x14ac:dyDescent="0.15">
      <c r="A6" s="407" t="s">
        <v>1371</v>
      </c>
      <c r="B6" s="3">
        <f>B5-B3</f>
        <v>4</v>
      </c>
    </row>
    <row r="7" spans="1:2" x14ac:dyDescent="0.15">
      <c r="A7" s="409"/>
      <c r="B7" s="3"/>
    </row>
    <row r="8" spans="1:2" ht="14" x14ac:dyDescent="0.15">
      <c r="A8" s="2" t="s">
        <v>974</v>
      </c>
      <c r="B8" s="3"/>
    </row>
    <row r="9" spans="1:2" x14ac:dyDescent="0.15">
      <c r="A9" s="409"/>
      <c r="B9" s="3"/>
    </row>
    <row r="10" spans="1:2" ht="14" x14ac:dyDescent="0.15">
      <c r="A10" s="407" t="s">
        <v>1372</v>
      </c>
      <c r="B10" s="3">
        <v>1</v>
      </c>
    </row>
    <row r="11" spans="1:2" ht="14" x14ac:dyDescent="0.15">
      <c r="A11" s="407" t="s">
        <v>1373</v>
      </c>
      <c r="B11" s="3">
        <v>0.2</v>
      </c>
    </row>
    <row r="12" spans="1:2" ht="14" x14ac:dyDescent="0.15">
      <c r="A12" s="407" t="s">
        <v>1369</v>
      </c>
      <c r="B12" s="408">
        <v>0.75</v>
      </c>
    </row>
    <row r="13" spans="1:2" ht="14" x14ac:dyDescent="0.15">
      <c r="A13" s="407" t="s">
        <v>1374</v>
      </c>
      <c r="B13" s="408">
        <f>1-B12</f>
        <v>0.25</v>
      </c>
    </row>
    <row r="14" spans="1:2" x14ac:dyDescent="0.15">
      <c r="A14" s="409"/>
      <c r="B14" s="3"/>
    </row>
    <row r="15" spans="1:2" ht="14" x14ac:dyDescent="0.15">
      <c r="A15" s="407" t="s">
        <v>1375</v>
      </c>
      <c r="B15" s="6">
        <v>2</v>
      </c>
    </row>
    <row r="16" spans="1:2" x14ac:dyDescent="0.15">
      <c r="A16" s="407"/>
      <c r="B16" s="6"/>
    </row>
    <row r="17" spans="1:2" ht="14" x14ac:dyDescent="0.15">
      <c r="A17" s="410" t="s">
        <v>1376</v>
      </c>
      <c r="B17" s="3"/>
    </row>
    <row r="18" spans="1:2" ht="14" x14ac:dyDescent="0.15">
      <c r="A18" s="407" t="s">
        <v>1378</v>
      </c>
      <c r="B18" s="3">
        <f>B15*B12-B11</f>
        <v>1.3</v>
      </c>
    </row>
    <row r="19" spans="1:2" ht="14" x14ac:dyDescent="0.15">
      <c r="A19" s="407" t="s">
        <v>1379</v>
      </c>
      <c r="B19" s="3">
        <f>B15*B13-(B10-B11)</f>
        <v>-0.30000000000000004</v>
      </c>
    </row>
    <row r="20" spans="1:2" x14ac:dyDescent="0.15">
      <c r="A20" s="409"/>
      <c r="B20" s="3"/>
    </row>
    <row r="21" spans="1:2" ht="14" x14ac:dyDescent="0.15">
      <c r="A21" s="410" t="s">
        <v>1377</v>
      </c>
      <c r="B21" s="3"/>
    </row>
    <row r="22" spans="1:2" ht="14" x14ac:dyDescent="0.15">
      <c r="A22" s="407" t="s">
        <v>1378</v>
      </c>
      <c r="B22" s="3">
        <f>B15-B10-B23</f>
        <v>0.7</v>
      </c>
    </row>
    <row r="23" spans="1:2" ht="14" x14ac:dyDescent="0.15">
      <c r="A23" s="407" t="s">
        <v>1379</v>
      </c>
      <c r="B23" s="3">
        <f>B10-B11+(B15-B10+B11)*B13-(B10-B11)</f>
        <v>0.30000000000000004</v>
      </c>
    </row>
    <row r="24" spans="1:2" x14ac:dyDescent="0.15">
      <c r="A24" s="409"/>
      <c r="B24" s="3"/>
    </row>
    <row r="25" spans="1:2" ht="14" x14ac:dyDescent="0.15">
      <c r="A25" s="2" t="s">
        <v>984</v>
      </c>
      <c r="B25" s="3"/>
    </row>
    <row r="26" spans="1:2" x14ac:dyDescent="0.15">
      <c r="A26" s="409"/>
      <c r="B26" s="3"/>
    </row>
    <row r="27" spans="1:2" ht="14" x14ac:dyDescent="0.15">
      <c r="A27" s="407" t="s">
        <v>988</v>
      </c>
      <c r="B27" s="3">
        <f>(B10-B11)/B13-(B10-B11)-B11</f>
        <v>2.2000000000000002</v>
      </c>
    </row>
    <row r="28" spans="1:2" x14ac:dyDescent="0.15">
      <c r="A28" s="409"/>
      <c r="B28" s="3"/>
    </row>
    <row r="29" spans="1:2" ht="14" x14ac:dyDescent="0.15">
      <c r="A29" s="2" t="s">
        <v>470</v>
      </c>
      <c r="B29" s="3"/>
    </row>
    <row r="30" spans="1:2" x14ac:dyDescent="0.15">
      <c r="A30" s="409"/>
      <c r="B30" s="3"/>
    </row>
    <row r="31" spans="1:2" ht="14" x14ac:dyDescent="0.15">
      <c r="A31" s="407" t="s">
        <v>1380</v>
      </c>
      <c r="B31" s="411">
        <v>1000000</v>
      </c>
    </row>
    <row r="32" spans="1:2" ht="14" x14ac:dyDescent="0.15">
      <c r="A32" s="407" t="s">
        <v>1384</v>
      </c>
      <c r="B32" s="3">
        <v>1</v>
      </c>
    </row>
    <row r="33" spans="1:2" ht="14" x14ac:dyDescent="0.15">
      <c r="A33" s="407" t="s">
        <v>1382</v>
      </c>
      <c r="B33" s="411">
        <v>800000</v>
      </c>
    </row>
    <row r="34" spans="1:2" ht="14" x14ac:dyDescent="0.15">
      <c r="A34" s="407" t="s">
        <v>1385</v>
      </c>
      <c r="B34" s="6">
        <v>10</v>
      </c>
    </row>
    <row r="35" spans="1:2" x14ac:dyDescent="0.15">
      <c r="A35" s="407"/>
      <c r="B35" s="6"/>
    </row>
    <row r="36" spans="1:2" ht="14" x14ac:dyDescent="0.15">
      <c r="A36" s="407" t="s">
        <v>1381</v>
      </c>
      <c r="B36" s="412">
        <f>B31/(B31+B33)</f>
        <v>0.55555555555555558</v>
      </c>
    </row>
    <row r="37" spans="1:2" ht="14" x14ac:dyDescent="0.15">
      <c r="A37" s="407" t="s">
        <v>1383</v>
      </c>
      <c r="B37" s="412">
        <f>B33/(B31+B33)</f>
        <v>0.44444444444444442</v>
      </c>
    </row>
    <row r="38" spans="1:2" x14ac:dyDescent="0.15">
      <c r="A38" s="409"/>
      <c r="B38" s="3"/>
    </row>
    <row r="39" spans="1:2" ht="14" x14ac:dyDescent="0.15">
      <c r="A39" s="407" t="s">
        <v>1132</v>
      </c>
      <c r="B39" s="411">
        <v>5000000</v>
      </c>
    </row>
    <row r="40" spans="1:2" ht="14" x14ac:dyDescent="0.15">
      <c r="A40" s="407" t="s">
        <v>1386</v>
      </c>
      <c r="B40" s="408">
        <v>0.36</v>
      </c>
    </row>
    <row r="41" spans="1:2" ht="14" x14ac:dyDescent="0.15">
      <c r="A41" s="407" t="s">
        <v>1387</v>
      </c>
      <c r="B41" s="411">
        <f>B39/B40</f>
        <v>13888888.88888889</v>
      </c>
    </row>
    <row r="42" spans="1:2" x14ac:dyDescent="0.15">
      <c r="A42" s="407"/>
      <c r="B42" s="408"/>
    </row>
    <row r="43" spans="1:2" ht="14" x14ac:dyDescent="0.15">
      <c r="A43" s="410" t="s">
        <v>1388</v>
      </c>
      <c r="B43" s="3"/>
    </row>
    <row r="44" spans="1:2" ht="14" x14ac:dyDescent="0.15">
      <c r="A44" s="407" t="s">
        <v>1390</v>
      </c>
      <c r="B44" s="408">
        <f>B40</f>
        <v>0.36</v>
      </c>
    </row>
    <row r="45" spans="1:2" ht="14" x14ac:dyDescent="0.15">
      <c r="A45" s="407" t="s">
        <v>1381</v>
      </c>
      <c r="B45" s="413">
        <f>B36*(1-$B$44)</f>
        <v>0.35555555555555557</v>
      </c>
    </row>
    <row r="46" spans="1:2" ht="14" x14ac:dyDescent="0.15">
      <c r="A46" s="407" t="s">
        <v>1383</v>
      </c>
      <c r="B46" s="413">
        <f>B37*(1-$B$44)</f>
        <v>0.28444444444444444</v>
      </c>
    </row>
    <row r="47" spans="1:2" x14ac:dyDescent="0.15">
      <c r="A47" s="409"/>
      <c r="B47" s="3"/>
    </row>
    <row r="48" spans="1:2" ht="14" x14ac:dyDescent="0.15">
      <c r="A48" s="410" t="s">
        <v>1389</v>
      </c>
      <c r="B48" s="3"/>
    </row>
    <row r="49" spans="1:4" ht="14" x14ac:dyDescent="0.15">
      <c r="A49" s="407" t="s">
        <v>1390</v>
      </c>
      <c r="B49" s="408">
        <f>B40</f>
        <v>0.36</v>
      </c>
    </row>
    <row r="50" spans="1:4" ht="14" x14ac:dyDescent="0.15">
      <c r="A50" s="407" t="s">
        <v>1381</v>
      </c>
      <c r="B50" s="413">
        <f>1-B51-B49</f>
        <v>6.4000000000000057E-2</v>
      </c>
    </row>
    <row r="51" spans="1:4" ht="14" x14ac:dyDescent="0.15">
      <c r="A51" s="407" t="s">
        <v>1383</v>
      </c>
      <c r="B51" s="413">
        <f>(B33*B34)/(B41-B39)*(1-B49)</f>
        <v>0.57599999999999996</v>
      </c>
    </row>
    <row r="52" spans="1:4" x14ac:dyDescent="0.15">
      <c r="A52" s="409"/>
      <c r="B52" s="3"/>
    </row>
    <row r="53" spans="1:4" ht="14" x14ac:dyDescent="0.15">
      <c r="A53" s="2" t="s">
        <v>490</v>
      </c>
      <c r="B53" s="3"/>
    </row>
    <row r="54" spans="1:4" x14ac:dyDescent="0.15">
      <c r="A54" s="409"/>
      <c r="B54" s="3"/>
    </row>
    <row r="55" spans="1:4" ht="14" x14ac:dyDescent="0.15">
      <c r="A55" s="407" t="s">
        <v>1380</v>
      </c>
      <c r="B55" s="411">
        <v>200000</v>
      </c>
    </row>
    <row r="56" spans="1:4" ht="14" x14ac:dyDescent="0.15">
      <c r="A56" s="407" t="s">
        <v>1384</v>
      </c>
      <c r="B56" s="3">
        <v>1</v>
      </c>
    </row>
    <row r="57" spans="1:4" ht="14" x14ac:dyDescent="0.15">
      <c r="A57" s="407" t="s">
        <v>1382</v>
      </c>
      <c r="B57" s="411">
        <v>800000</v>
      </c>
    </row>
    <row r="58" spans="1:4" ht="12.5" x14ac:dyDescent="0.2">
      <c r="A58" s="407" t="s">
        <v>1385</v>
      </c>
      <c r="B58" s="6">
        <v>1</v>
      </c>
    </row>
    <row r="59" spans="1:4" ht="12.5" x14ac:dyDescent="0.2">
      <c r="A59" s="407"/>
      <c r="B59" s="6"/>
    </row>
    <row r="60" spans="1:4" ht="12.5" x14ac:dyDescent="0.2">
      <c r="A60" s="7" t="s">
        <v>1123</v>
      </c>
      <c r="B60" s="4" t="s">
        <v>1364</v>
      </c>
      <c r="C60" s="4" t="s">
        <v>1365</v>
      </c>
      <c r="D60" s="4" t="s">
        <v>1366</v>
      </c>
    </row>
    <row r="61" spans="1:4" ht="12.5" x14ac:dyDescent="0.2">
      <c r="A61" s="7" t="s">
        <v>1367</v>
      </c>
      <c r="B61" s="411">
        <f>B57/3</f>
        <v>266666.66666666669</v>
      </c>
      <c r="C61" s="411">
        <f>B57/2</f>
        <v>400000</v>
      </c>
      <c r="D61" s="411">
        <f>B57*2/3</f>
        <v>533333.33333333337</v>
      </c>
    </row>
    <row r="62" spans="1:4" ht="12.5" x14ac:dyDescent="0.2">
      <c r="A62" s="7" t="s">
        <v>921</v>
      </c>
      <c r="B62">
        <v>1</v>
      </c>
      <c r="C62">
        <f>B62</f>
        <v>1</v>
      </c>
      <c r="D62">
        <f>C62</f>
        <v>1</v>
      </c>
    </row>
    <row r="64" spans="1:4" ht="12.5" x14ac:dyDescent="0.2">
      <c r="A64" s="7" t="s">
        <v>1391</v>
      </c>
      <c r="B64" s="1">
        <v>3.7</v>
      </c>
    </row>
    <row r="65" spans="1:2" ht="12.5" x14ac:dyDescent="0.2">
      <c r="A65" s="7" t="s">
        <v>1392</v>
      </c>
      <c r="B65" s="414">
        <f>(B64/B56)^(1/5)-1</f>
        <v>0.29909330563866021</v>
      </c>
    </row>
    <row r="66" spans="1:2" ht="12.5" x14ac:dyDescent="0.2">
      <c r="A66" s="7" t="s">
        <v>1393</v>
      </c>
      <c r="B66" s="414">
        <f>(((B57-B61)*B64+B61*B62)/(B57*B58))^(1/5)-1</f>
        <v>0.22865967908314722</v>
      </c>
    </row>
    <row r="68" spans="1:2" ht="12.5" x14ac:dyDescent="0.2">
      <c r="A68" s="7" t="s">
        <v>1391</v>
      </c>
      <c r="B68">
        <v>3.73</v>
      </c>
    </row>
    <row r="69" spans="1:2" ht="12.5" x14ac:dyDescent="0.2">
      <c r="A69" s="7" t="s">
        <v>1392</v>
      </c>
      <c r="B69" s="414">
        <f>(B68/B56)^(1/5)-1</f>
        <v>0.30119314414370946</v>
      </c>
    </row>
    <row r="70" spans="1:2" ht="12.5" x14ac:dyDescent="0.2">
      <c r="A70" s="7" t="s">
        <v>1393</v>
      </c>
      <c r="B70" s="414">
        <f>(((B57-C61)*B64+C61*C62)/(B57*B58))^(1/5)-1</f>
        <v>0.18635201558641534</v>
      </c>
    </row>
  </sheetData>
  <pageMargins left="0.7" right="0.7" top="0.75" bottom="0.75" header="0.3" footer="0.3"/>
  <pageSetup paperSize="9" fitToHeight="0" orientation="portrait"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55"/>
  <sheetViews>
    <sheetView showGridLines="0" workbookViewId="0">
      <selection activeCell="C20" sqref="C20"/>
    </sheetView>
  </sheetViews>
  <sheetFormatPr baseColWidth="10" defaultColWidth="10.6640625" defaultRowHeight="14" x14ac:dyDescent="0.15"/>
  <cols>
    <col min="1" max="1" width="26.5" style="9" customWidth="1"/>
    <col min="2" max="16384" width="10.6640625" style="9"/>
  </cols>
  <sheetData>
    <row r="1" spans="1:11" x14ac:dyDescent="0.15">
      <c r="A1" s="32" t="s">
        <v>40</v>
      </c>
    </row>
    <row r="2" spans="1:11" ht="30" x14ac:dyDescent="0.15">
      <c r="A2" s="293" t="s">
        <v>658</v>
      </c>
      <c r="B2" s="107" t="s">
        <v>1394</v>
      </c>
      <c r="C2" s="107" t="s">
        <v>1395</v>
      </c>
      <c r="D2" s="107"/>
      <c r="F2" s="12" t="s">
        <v>656</v>
      </c>
      <c r="G2" s="12" t="s">
        <v>657</v>
      </c>
    </row>
    <row r="3" spans="1:11" ht="15" x14ac:dyDescent="0.15">
      <c r="A3" s="12" t="s">
        <v>656</v>
      </c>
      <c r="B3" s="104">
        <v>1</v>
      </c>
      <c r="E3" s="107" t="s">
        <v>547</v>
      </c>
      <c r="F3" s="9">
        <v>60</v>
      </c>
      <c r="G3" s="9">
        <v>30</v>
      </c>
    </row>
    <row r="4" spans="1:11" ht="15" x14ac:dyDescent="0.15">
      <c r="A4" s="12" t="s">
        <v>657</v>
      </c>
      <c r="C4" s="104">
        <v>1</v>
      </c>
      <c r="E4" s="107" t="s">
        <v>878</v>
      </c>
      <c r="F4" s="9">
        <v>750</v>
      </c>
      <c r="G4" s="9">
        <v>1500</v>
      </c>
    </row>
    <row r="5" spans="1:11" ht="15" x14ac:dyDescent="0.15">
      <c r="E5" s="107" t="s">
        <v>94</v>
      </c>
      <c r="F5" s="9">
        <v>800</v>
      </c>
      <c r="G5" s="9">
        <v>400</v>
      </c>
    </row>
    <row r="6" spans="1:11" x14ac:dyDescent="0.15">
      <c r="A6" s="293" t="s">
        <v>659</v>
      </c>
    </row>
    <row r="7" spans="1:11" x14ac:dyDescent="0.15">
      <c r="A7" s="9" t="s">
        <v>660</v>
      </c>
      <c r="B7" s="105">
        <f t="shared" ref="B7:C9" si="0">F3/($F3+$G3)</f>
        <v>0.66666666666666663</v>
      </c>
      <c r="C7" s="105">
        <f t="shared" si="0"/>
        <v>0.33333333333333331</v>
      </c>
    </row>
    <row r="8" spans="1:11" x14ac:dyDescent="0.15">
      <c r="A8" s="9" t="s">
        <v>661</v>
      </c>
      <c r="B8" s="105">
        <f t="shared" si="0"/>
        <v>0.33333333333333331</v>
      </c>
      <c r="C8" s="105">
        <f t="shared" si="0"/>
        <v>0.66666666666666663</v>
      </c>
    </row>
    <row r="9" spans="1:11" x14ac:dyDescent="0.15">
      <c r="A9" s="9" t="s">
        <v>662</v>
      </c>
      <c r="B9" s="105">
        <f t="shared" si="0"/>
        <v>0.66666666666666663</v>
      </c>
      <c r="C9" s="105">
        <f t="shared" si="0"/>
        <v>0.33333333333333331</v>
      </c>
    </row>
    <row r="11" spans="1:11" x14ac:dyDescent="0.15">
      <c r="A11" s="32" t="s">
        <v>41</v>
      </c>
    </row>
    <row r="12" spans="1:11" ht="30" x14ac:dyDescent="0.15">
      <c r="A12" s="293" t="s">
        <v>658</v>
      </c>
      <c r="B12" s="107" t="s">
        <v>547</v>
      </c>
      <c r="C12" s="107" t="s">
        <v>663</v>
      </c>
      <c r="D12" s="107" t="s">
        <v>127</v>
      </c>
      <c r="E12" s="107" t="s">
        <v>157</v>
      </c>
      <c r="G12" s="416" t="s">
        <v>108</v>
      </c>
      <c r="H12" s="416" t="s">
        <v>671</v>
      </c>
    </row>
    <row r="13" spans="1:11" x14ac:dyDescent="0.15">
      <c r="A13" s="9" t="s">
        <v>666</v>
      </c>
      <c r="B13" s="9">
        <v>20</v>
      </c>
      <c r="C13" s="9">
        <v>60</v>
      </c>
      <c r="D13" s="9">
        <v>50</v>
      </c>
      <c r="E13" s="9">
        <v>2000</v>
      </c>
      <c r="G13" s="16">
        <f>B13/E13</f>
        <v>0.01</v>
      </c>
      <c r="H13" s="16">
        <f>C13/E13</f>
        <v>0.03</v>
      </c>
      <c r="J13" s="9" t="s">
        <v>664</v>
      </c>
      <c r="K13" s="9" t="s">
        <v>666</v>
      </c>
    </row>
    <row r="14" spans="1:11" x14ac:dyDescent="0.15">
      <c r="A14" s="9" t="s">
        <v>667</v>
      </c>
      <c r="B14" s="9">
        <v>40</v>
      </c>
      <c r="C14" s="9">
        <v>300</v>
      </c>
      <c r="D14" s="9">
        <v>8</v>
      </c>
      <c r="E14" s="9">
        <v>1000</v>
      </c>
      <c r="G14" s="16">
        <f>B14/E14</f>
        <v>0.04</v>
      </c>
      <c r="H14" s="16">
        <f>C14/E14</f>
        <v>0.3</v>
      </c>
      <c r="J14" s="9" t="s">
        <v>665</v>
      </c>
      <c r="K14" s="9" t="s">
        <v>667</v>
      </c>
    </row>
    <row r="16" spans="1:11" x14ac:dyDescent="0.15">
      <c r="A16" s="293" t="s">
        <v>668</v>
      </c>
    </row>
    <row r="17" spans="1:5" ht="30" x14ac:dyDescent="0.15">
      <c r="D17" s="107" t="s">
        <v>1190</v>
      </c>
      <c r="E17" s="9">
        <f>$E$13*100%/B18</f>
        <v>2640</v>
      </c>
    </row>
    <row r="18" spans="1:5" x14ac:dyDescent="0.15">
      <c r="A18" s="13" t="s">
        <v>669</v>
      </c>
      <c r="B18" s="123">
        <f>B13*D13/(B$13*D$13+B$14*D$14)</f>
        <v>0.75757575757575757</v>
      </c>
    </row>
    <row r="19" spans="1:5" x14ac:dyDescent="0.15">
      <c r="A19" s="13" t="s">
        <v>670</v>
      </c>
      <c r="B19" s="123">
        <f>B14*D14/(B$13*D$13+B$14*D$14)</f>
        <v>0.24242424242424243</v>
      </c>
    </row>
    <row r="21" spans="1:5" x14ac:dyDescent="0.15">
      <c r="A21" s="13" t="s">
        <v>108</v>
      </c>
      <c r="B21" s="415">
        <f>(B13+B14)/E17</f>
        <v>2.2727272727272728E-2</v>
      </c>
    </row>
    <row r="22" spans="1:5" x14ac:dyDescent="0.15">
      <c r="A22" s="13" t="s">
        <v>671</v>
      </c>
      <c r="B22" s="415">
        <f>(C13+C14)/E17</f>
        <v>0.13636363636363635</v>
      </c>
    </row>
    <row r="24" spans="1:5" x14ac:dyDescent="0.15">
      <c r="A24" s="293" t="s">
        <v>672</v>
      </c>
    </row>
    <row r="26" spans="1:5" x14ac:dyDescent="0.15">
      <c r="A26" s="9" t="s">
        <v>673</v>
      </c>
      <c r="B26" s="9">
        <v>15</v>
      </c>
      <c r="C26" s="9">
        <v>6</v>
      </c>
    </row>
    <row r="27" spans="1:5" x14ac:dyDescent="0.15">
      <c r="A27" s="13" t="s">
        <v>669</v>
      </c>
      <c r="B27" s="123">
        <f>B13*B26/(B$13*B26+B$14*D$14)</f>
        <v>0.4838709677419355</v>
      </c>
      <c r="C27" s="123">
        <f>B13*C26/(B$13*C$26+B$14*D$14)</f>
        <v>0.27272727272727271</v>
      </c>
    </row>
    <row r="28" spans="1:5" x14ac:dyDescent="0.15">
      <c r="A28" s="13" t="s">
        <v>670</v>
      </c>
      <c r="B28" s="123">
        <f>B14*D14/(B$13*B26+B$14*D$14)</f>
        <v>0.5161290322580645</v>
      </c>
      <c r="C28" s="123">
        <f>B14*D14/(B$13*C26+B$14*D$14)</f>
        <v>0.72727272727272729</v>
      </c>
    </row>
    <row r="29" spans="1:5" x14ac:dyDescent="0.15">
      <c r="A29" s="13" t="s">
        <v>1190</v>
      </c>
      <c r="B29" s="31">
        <f>$E$13*100%/B27</f>
        <v>4133.333333333333</v>
      </c>
      <c r="C29" s="31">
        <f>$E$13*100%/C27</f>
        <v>7333.3333333333339</v>
      </c>
    </row>
    <row r="30" spans="1:5" x14ac:dyDescent="0.15">
      <c r="A30" s="13" t="s">
        <v>108</v>
      </c>
      <c r="B30" s="415">
        <f>($B$13+$B$14)/B29</f>
        <v>1.4516129032258065E-2</v>
      </c>
      <c r="C30" s="415">
        <f>($B$13+$B$14)/C29</f>
        <v>8.1818181818181807E-3</v>
      </c>
    </row>
    <row r="31" spans="1:5" x14ac:dyDescent="0.15">
      <c r="A31" s="13" t="s">
        <v>671</v>
      </c>
      <c r="B31" s="188">
        <f>($C$13+$C$14)/B29</f>
        <v>8.7096774193548387E-2</v>
      </c>
      <c r="C31" s="188">
        <f>($C$13+$C$14)/C29</f>
        <v>4.9090909090909088E-2</v>
      </c>
    </row>
    <row r="32" spans="1:5" x14ac:dyDescent="0.15">
      <c r="A32" s="13"/>
      <c r="B32" s="123"/>
      <c r="C32" s="123"/>
    </row>
    <row r="34" spans="1:7" x14ac:dyDescent="0.15">
      <c r="A34" s="293" t="s">
        <v>674</v>
      </c>
    </row>
    <row r="36" spans="1:7" x14ac:dyDescent="0.15">
      <c r="A36" s="9" t="s">
        <v>675</v>
      </c>
      <c r="B36" s="9">
        <v>10</v>
      </c>
    </row>
    <row r="37" spans="1:7" x14ac:dyDescent="0.15">
      <c r="A37" s="9" t="s">
        <v>676</v>
      </c>
      <c r="B37" s="9">
        <v>21</v>
      </c>
    </row>
    <row r="39" spans="1:7" x14ac:dyDescent="0.15">
      <c r="A39" s="9" t="s">
        <v>677</v>
      </c>
      <c r="B39" s="9">
        <f>(B13+B14+B36)*B37-(D13*B13+D14*B14)</f>
        <v>150</v>
      </c>
    </row>
    <row r="41" spans="1:7" x14ac:dyDescent="0.15">
      <c r="A41" s="58" t="s">
        <v>424</v>
      </c>
      <c r="B41" s="223">
        <f>D13*B13/(B39+D14*B14)</f>
        <v>2.1276595744680851</v>
      </c>
      <c r="C41" s="9" t="s">
        <v>1191</v>
      </c>
      <c r="F41" s="188">
        <f>1/(B41/2)</f>
        <v>0.94000000000000006</v>
      </c>
      <c r="G41" s="9" t="s">
        <v>1193</v>
      </c>
    </row>
    <row r="42" spans="1:7" x14ac:dyDescent="0.15">
      <c r="A42" s="13" t="s">
        <v>425</v>
      </c>
      <c r="B42" s="223">
        <f>(B39+D13*B13)/(D14*B14)</f>
        <v>3.59375</v>
      </c>
      <c r="C42" s="9" t="s">
        <v>1192</v>
      </c>
      <c r="F42" s="188">
        <f>1/(B42/2)</f>
        <v>0.55652173913043479</v>
      </c>
      <c r="G42" s="9" t="s">
        <v>1193</v>
      </c>
    </row>
    <row r="44" spans="1:7" x14ac:dyDescent="0.15">
      <c r="A44" s="293" t="s">
        <v>682</v>
      </c>
    </row>
    <row r="46" spans="1:7" x14ac:dyDescent="0.15">
      <c r="A46" s="9" t="s">
        <v>675</v>
      </c>
      <c r="B46" s="9">
        <v>10</v>
      </c>
    </row>
    <row r="47" spans="1:7" x14ac:dyDescent="0.15">
      <c r="A47" s="9" t="s">
        <v>676</v>
      </c>
      <c r="B47" s="9">
        <v>50</v>
      </c>
    </row>
    <row r="49" spans="1:3" x14ac:dyDescent="0.15">
      <c r="A49" s="13" t="s">
        <v>678</v>
      </c>
      <c r="B49" s="9">
        <f>B47*(B46+B13+B14)</f>
        <v>3500</v>
      </c>
      <c r="C49" s="307"/>
    </row>
    <row r="51" spans="1:3" x14ac:dyDescent="0.15">
      <c r="A51" s="293" t="s">
        <v>679</v>
      </c>
    </row>
    <row r="53" spans="1:3" x14ac:dyDescent="0.15">
      <c r="A53" s="9" t="s">
        <v>680</v>
      </c>
      <c r="B53" s="9">
        <f>B49-(D13*B13+D14*B14)</f>
        <v>2180</v>
      </c>
    </row>
    <row r="54" spans="1:3" x14ac:dyDescent="0.15">
      <c r="A54" s="35" t="s">
        <v>468</v>
      </c>
      <c r="B54" s="9">
        <f>B46*B47</f>
        <v>500</v>
      </c>
    </row>
    <row r="55" spans="1:3" x14ac:dyDescent="0.15">
      <c r="A55" s="35" t="s">
        <v>681</v>
      </c>
      <c r="B55" s="9">
        <f>B53-B54</f>
        <v>1680</v>
      </c>
    </row>
  </sheetData>
  <phoneticPr fontId="4" type="noConversion"/>
  <pageMargins left="0.7" right="0.7" top="0.75" bottom="0.75" header="0.3" footer="0.3"/>
  <pageSetup paperSize="9" scale="57" fitToHeight="0" orientation="portrait" r:id="rId1"/>
  <drawing r:id="rId2"/>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97"/>
  <sheetViews>
    <sheetView showGridLines="0" workbookViewId="0">
      <selection activeCell="C20" sqref="C20"/>
    </sheetView>
  </sheetViews>
  <sheetFormatPr baseColWidth="10" defaultColWidth="10.6640625" defaultRowHeight="14" x14ac:dyDescent="0.15"/>
  <cols>
    <col min="1" max="1" width="30.1640625" style="9" customWidth="1"/>
    <col min="2" max="2" width="12.83203125" style="9" bestFit="1" customWidth="1"/>
    <col min="3" max="16384" width="10.6640625" style="9"/>
  </cols>
  <sheetData>
    <row r="1" spans="1:3" x14ac:dyDescent="0.15">
      <c r="A1" s="32" t="s">
        <v>1293</v>
      </c>
    </row>
    <row r="2" spans="1:3" x14ac:dyDescent="0.15">
      <c r="B2" s="105"/>
      <c r="C2" s="105"/>
    </row>
    <row r="3" spans="1:3" x14ac:dyDescent="0.15">
      <c r="A3" s="9" t="s">
        <v>775</v>
      </c>
      <c r="B3" s="417" t="s">
        <v>562</v>
      </c>
      <c r="C3" s="417" t="s">
        <v>561</v>
      </c>
    </row>
    <row r="4" spans="1:3" x14ac:dyDescent="0.15">
      <c r="A4" s="9" t="s">
        <v>776</v>
      </c>
      <c r="B4" s="121">
        <v>500</v>
      </c>
      <c r="C4" s="121">
        <v>1000</v>
      </c>
    </row>
    <row r="5" spans="1:3" x14ac:dyDescent="0.15">
      <c r="A5" s="9" t="s">
        <v>777</v>
      </c>
      <c r="B5" s="121">
        <v>-500</v>
      </c>
      <c r="C5" s="121">
        <v>-500</v>
      </c>
    </row>
    <row r="6" spans="1:3" x14ac:dyDescent="0.15">
      <c r="A6" s="9" t="s">
        <v>778</v>
      </c>
      <c r="B6" s="121">
        <f>B4+B5</f>
        <v>0</v>
      </c>
      <c r="C6" s="121">
        <f>C4+C5</f>
        <v>500</v>
      </c>
    </row>
    <row r="7" spans="1:3" x14ac:dyDescent="0.15">
      <c r="A7" s="9" t="s">
        <v>1132</v>
      </c>
      <c r="B7" s="121">
        <v>0</v>
      </c>
      <c r="C7" s="121">
        <v>300</v>
      </c>
    </row>
    <row r="8" spans="1:3" x14ac:dyDescent="0.15">
      <c r="B8" s="121"/>
      <c r="C8" s="121"/>
    </row>
    <row r="9" spans="1:3" x14ac:dyDescent="0.15">
      <c r="A9" s="9" t="s">
        <v>496</v>
      </c>
    </row>
    <row r="10" spans="1:3" x14ac:dyDescent="0.15">
      <c r="A10" s="9" t="s">
        <v>779</v>
      </c>
      <c r="B10" s="9">
        <f>AVERAGE(B4:C4)</f>
        <v>750</v>
      </c>
    </row>
    <row r="11" spans="1:3" x14ac:dyDescent="0.15">
      <c r="A11" s="13" t="s">
        <v>780</v>
      </c>
      <c r="B11" s="13">
        <f>-AVERAGE(B5,C5)</f>
        <v>500</v>
      </c>
    </row>
    <row r="12" spans="1:3" x14ac:dyDescent="0.15">
      <c r="A12" s="13" t="s">
        <v>781</v>
      </c>
      <c r="B12" s="13">
        <f>B10-B11</f>
        <v>250</v>
      </c>
    </row>
    <row r="14" spans="1:3" x14ac:dyDescent="0.15">
      <c r="A14" s="9" t="s">
        <v>497</v>
      </c>
    </row>
    <row r="15" spans="1:3" x14ac:dyDescent="0.15">
      <c r="A15" s="13" t="s">
        <v>782</v>
      </c>
      <c r="B15" s="13">
        <f>AVERAGE(B7,C7)</f>
        <v>150</v>
      </c>
    </row>
    <row r="16" spans="1:3" x14ac:dyDescent="0.15">
      <c r="A16" s="9" t="s">
        <v>785</v>
      </c>
    </row>
    <row r="17" spans="1:8" x14ac:dyDescent="0.15">
      <c r="A17" s="13" t="s">
        <v>783</v>
      </c>
      <c r="B17" s="13">
        <f>B15+150</f>
        <v>300</v>
      </c>
    </row>
    <row r="18" spans="1:8" x14ac:dyDescent="0.15">
      <c r="A18" s="13" t="s">
        <v>784</v>
      </c>
      <c r="B18" s="13">
        <f>B15</f>
        <v>150</v>
      </c>
    </row>
    <row r="20" spans="1:8" x14ac:dyDescent="0.15">
      <c r="A20" s="9" t="s">
        <v>565</v>
      </c>
    </row>
    <row r="21" spans="1:8" x14ac:dyDescent="0.15">
      <c r="A21" s="9" t="s">
        <v>786</v>
      </c>
    </row>
    <row r="23" spans="1:8" x14ac:dyDescent="0.15">
      <c r="A23" s="9" t="s">
        <v>566</v>
      </c>
    </row>
    <row r="24" spans="1:8" x14ac:dyDescent="0.15">
      <c r="A24" s="9" t="s">
        <v>787</v>
      </c>
    </row>
    <row r="26" spans="1:8" x14ac:dyDescent="0.15">
      <c r="A26" s="32" t="s">
        <v>1294</v>
      </c>
    </row>
    <row r="27" spans="1:8" x14ac:dyDescent="0.15">
      <c r="A27" s="293"/>
      <c r="B27" s="107"/>
      <c r="C27" s="107"/>
      <c r="D27" s="107"/>
      <c r="E27" s="107"/>
      <c r="G27" s="416"/>
      <c r="H27" s="416"/>
    </row>
    <row r="28" spans="1:8" x14ac:dyDescent="0.15">
      <c r="B28" s="9">
        <v>2012</v>
      </c>
      <c r="C28" s="9">
        <f>B28+1</f>
        <v>2013</v>
      </c>
      <c r="D28" s="9">
        <f>C28+1</f>
        <v>2014</v>
      </c>
      <c r="G28" s="16"/>
      <c r="H28" s="16"/>
    </row>
    <row r="29" spans="1:8" x14ac:dyDescent="0.15">
      <c r="A29" s="9" t="s">
        <v>227</v>
      </c>
      <c r="B29" s="9">
        <v>8026</v>
      </c>
      <c r="C29" s="9">
        <v>5208</v>
      </c>
      <c r="D29" s="9">
        <v>3018</v>
      </c>
      <c r="G29" s="16"/>
      <c r="H29" s="16"/>
    </row>
    <row r="30" spans="1:8" x14ac:dyDescent="0.15">
      <c r="A30" s="9" t="s">
        <v>982</v>
      </c>
      <c r="B30" s="9">
        <v>130</v>
      </c>
      <c r="C30" s="9">
        <v>-168</v>
      </c>
      <c r="D30" s="9">
        <v>-100</v>
      </c>
      <c r="G30" s="16"/>
      <c r="H30" s="16"/>
    </row>
    <row r="31" spans="1:8" x14ac:dyDescent="0.15">
      <c r="A31" s="9" t="s">
        <v>788</v>
      </c>
      <c r="B31" s="9">
        <v>330</v>
      </c>
      <c r="C31" s="9">
        <v>144</v>
      </c>
      <c r="D31" s="9">
        <v>62</v>
      </c>
      <c r="G31" s="16"/>
      <c r="H31" s="16"/>
    </row>
    <row r="32" spans="1:8" x14ac:dyDescent="0.15">
      <c r="A32" s="9" t="s">
        <v>789</v>
      </c>
      <c r="B32" s="9">
        <v>-1020</v>
      </c>
      <c r="C32" s="9">
        <v>-314</v>
      </c>
      <c r="G32" s="16"/>
      <c r="H32" s="16"/>
    </row>
    <row r="33" spans="1:8" x14ac:dyDescent="0.15">
      <c r="A33" s="9" t="s">
        <v>547</v>
      </c>
      <c r="B33" s="9">
        <f>B30-B31+B32</f>
        <v>-1220</v>
      </c>
      <c r="C33" s="9">
        <f>C30-C31+C32</f>
        <v>-626</v>
      </c>
      <c r="D33" s="9">
        <f>D30-D31+D32</f>
        <v>-162</v>
      </c>
      <c r="G33" s="16"/>
      <c r="H33" s="16"/>
    </row>
    <row r="34" spans="1:8" x14ac:dyDescent="0.15">
      <c r="G34" s="16"/>
      <c r="H34" s="16"/>
    </row>
    <row r="35" spans="1:8" x14ac:dyDescent="0.15">
      <c r="A35" s="9" t="s">
        <v>964</v>
      </c>
      <c r="C35" s="9">
        <v>122</v>
      </c>
      <c r="D35" s="9">
        <v>72</v>
      </c>
      <c r="G35" s="16"/>
      <c r="H35" s="16"/>
    </row>
    <row r="36" spans="1:8" x14ac:dyDescent="0.15">
      <c r="A36" s="9" t="s">
        <v>413</v>
      </c>
      <c r="C36" s="9">
        <v>614</v>
      </c>
      <c r="D36" s="9">
        <v>330</v>
      </c>
      <c r="G36" s="16"/>
      <c r="H36" s="16"/>
    </row>
    <row r="37" spans="1:8" x14ac:dyDescent="0.15">
      <c r="A37" s="9" t="s">
        <v>574</v>
      </c>
      <c r="C37" s="9">
        <v>-620</v>
      </c>
      <c r="D37" s="9">
        <v>-784</v>
      </c>
      <c r="G37" s="16"/>
      <c r="H37" s="16"/>
    </row>
    <row r="38" spans="1:8" x14ac:dyDescent="0.15">
      <c r="A38" s="9" t="s">
        <v>791</v>
      </c>
      <c r="C38" s="9">
        <v>616</v>
      </c>
      <c r="D38" s="9">
        <v>616</v>
      </c>
      <c r="G38" s="16"/>
      <c r="H38" s="16"/>
    </row>
    <row r="39" spans="1:8" x14ac:dyDescent="0.15">
      <c r="A39" s="9" t="s">
        <v>790</v>
      </c>
      <c r="C39" s="9">
        <v>740</v>
      </c>
      <c r="D39" s="9">
        <v>570</v>
      </c>
    </row>
    <row r="41" spans="1:8" x14ac:dyDescent="0.15">
      <c r="A41" s="9" t="s">
        <v>792</v>
      </c>
      <c r="B41" s="418">
        <v>8910000</v>
      </c>
    </row>
    <row r="42" spans="1:8" x14ac:dyDescent="0.15">
      <c r="A42" s="9" t="s">
        <v>117</v>
      </c>
      <c r="B42" s="121">
        <v>24</v>
      </c>
    </row>
    <row r="46" spans="1:8" x14ac:dyDescent="0.15">
      <c r="A46" s="9" t="s">
        <v>496</v>
      </c>
    </row>
    <row r="47" spans="1:8" x14ac:dyDescent="0.15">
      <c r="A47" s="9" t="s">
        <v>697</v>
      </c>
    </row>
    <row r="48" spans="1:8" x14ac:dyDescent="0.15">
      <c r="A48" s="9" t="s">
        <v>698</v>
      </c>
    </row>
    <row r="49" spans="1:2" x14ac:dyDescent="0.15">
      <c r="A49" s="9" t="s">
        <v>699</v>
      </c>
    </row>
    <row r="50" spans="1:2" x14ac:dyDescent="0.15">
      <c r="A50" s="9" t="s">
        <v>700</v>
      </c>
    </row>
    <row r="52" spans="1:2" x14ac:dyDescent="0.15">
      <c r="A52" s="28" t="s">
        <v>701</v>
      </c>
    </row>
    <row r="53" spans="1:2" x14ac:dyDescent="0.15">
      <c r="A53" s="28"/>
    </row>
    <row r="54" spans="1:2" x14ac:dyDescent="0.15">
      <c r="A54" s="9" t="s">
        <v>497</v>
      </c>
    </row>
    <row r="55" spans="1:2" x14ac:dyDescent="0.15">
      <c r="A55" s="9" t="s">
        <v>781</v>
      </c>
      <c r="B55" s="15">
        <f>B41*B42/1000000</f>
        <v>213.84</v>
      </c>
    </row>
    <row r="56" spans="1:2" x14ac:dyDescent="0.15">
      <c r="A56" s="9" t="s">
        <v>702</v>
      </c>
      <c r="B56" s="15">
        <f>0.5*D39</f>
        <v>285</v>
      </c>
    </row>
    <row r="57" spans="1:2" x14ac:dyDescent="0.15">
      <c r="A57" s="9" t="s">
        <v>703</v>
      </c>
      <c r="B57" s="15">
        <f>21%*D38</f>
        <v>129.35999999999999</v>
      </c>
    </row>
    <row r="58" spans="1:2" x14ac:dyDescent="0.15">
      <c r="A58" s="9" t="s">
        <v>779</v>
      </c>
      <c r="B58" s="15">
        <f>B55+B56+B57</f>
        <v>628.20000000000005</v>
      </c>
    </row>
    <row r="59" spans="1:2" x14ac:dyDescent="0.15">
      <c r="B59" s="31"/>
    </row>
    <row r="60" spans="1:2" x14ac:dyDescent="0.15">
      <c r="A60" s="9" t="s">
        <v>565</v>
      </c>
      <c r="B60" s="31"/>
    </row>
    <row r="61" spans="1:2" x14ac:dyDescent="0.15">
      <c r="A61" s="9" t="s">
        <v>152</v>
      </c>
      <c r="B61" s="31"/>
    </row>
    <row r="62" spans="1:2" x14ac:dyDescent="0.15">
      <c r="A62" s="9" t="s">
        <v>154</v>
      </c>
      <c r="B62" s="44">
        <v>15500000</v>
      </c>
    </row>
    <row r="63" spans="1:2" x14ac:dyDescent="0.15">
      <c r="A63" s="29" t="s">
        <v>704</v>
      </c>
      <c r="B63" s="419">
        <v>20</v>
      </c>
    </row>
    <row r="64" spans="1:2" x14ac:dyDescent="0.15">
      <c r="A64" s="9" t="s">
        <v>1085</v>
      </c>
      <c r="B64" s="420">
        <f>B62*B63/1000000</f>
        <v>310</v>
      </c>
    </row>
    <row r="65" spans="1:4" x14ac:dyDescent="0.15">
      <c r="B65" s="420"/>
    </row>
    <row r="66" spans="1:4" x14ac:dyDescent="0.15">
      <c r="A66" s="9" t="s">
        <v>791</v>
      </c>
      <c r="B66" s="420"/>
    </row>
    <row r="67" spans="1:4" x14ac:dyDescent="0.15">
      <c r="A67" s="9" t="s">
        <v>154</v>
      </c>
      <c r="B67" s="44">
        <v>3850000</v>
      </c>
    </row>
    <row r="68" spans="1:4" x14ac:dyDescent="0.15">
      <c r="A68" s="9" t="s">
        <v>705</v>
      </c>
      <c r="B68" s="421">
        <v>36.96</v>
      </c>
    </row>
    <row r="69" spans="1:4" x14ac:dyDescent="0.15">
      <c r="B69" s="420"/>
    </row>
    <row r="70" spans="1:4" x14ac:dyDescent="0.15">
      <c r="A70" s="9" t="s">
        <v>790</v>
      </c>
      <c r="B70" s="420"/>
    </row>
    <row r="71" spans="1:4" x14ac:dyDescent="0.15">
      <c r="A71" s="26" t="s">
        <v>419</v>
      </c>
      <c r="B71" s="420">
        <v>160</v>
      </c>
    </row>
    <row r="72" spans="1:4" x14ac:dyDescent="0.15">
      <c r="A72" s="26" t="s">
        <v>417</v>
      </c>
      <c r="B72" s="44">
        <v>1250000</v>
      </c>
    </row>
    <row r="73" spans="1:4" x14ac:dyDescent="0.15">
      <c r="A73" s="26" t="s">
        <v>418</v>
      </c>
      <c r="B73" s="420">
        <v>4</v>
      </c>
    </row>
    <row r="74" spans="1:4" x14ac:dyDescent="0.15">
      <c r="A74" s="26"/>
      <c r="B74" s="420"/>
    </row>
    <row r="75" spans="1:4" x14ac:dyDescent="0.15">
      <c r="A75" s="58" t="s">
        <v>709</v>
      </c>
      <c r="B75" s="420"/>
      <c r="D75" s="422" t="s">
        <v>1</v>
      </c>
    </row>
    <row r="76" spans="1:4" x14ac:dyDescent="0.15">
      <c r="A76" s="26" t="s">
        <v>422</v>
      </c>
      <c r="B76" s="420">
        <f>B64-B68</f>
        <v>273.04000000000002</v>
      </c>
      <c r="D76" s="422"/>
    </row>
    <row r="77" spans="1:4" x14ac:dyDescent="0.15">
      <c r="A77" s="26" t="s">
        <v>421</v>
      </c>
      <c r="B77" s="420">
        <f>80%*(D39-B71-(B64-B68))</f>
        <v>109.56799999999998</v>
      </c>
      <c r="D77" s="422"/>
    </row>
    <row r="78" spans="1:4" x14ac:dyDescent="0.15">
      <c r="A78" s="75" t="s">
        <v>420</v>
      </c>
      <c r="B78" s="419">
        <f>B72*B73/1000000</f>
        <v>5</v>
      </c>
      <c r="D78" s="422"/>
    </row>
    <row r="79" spans="1:4" x14ac:dyDescent="0.15">
      <c r="A79" s="26" t="s">
        <v>423</v>
      </c>
      <c r="B79" s="420">
        <f>SUM(B76:B78)</f>
        <v>387.608</v>
      </c>
      <c r="D79" s="423">
        <f>B79-B56</f>
        <v>102.608</v>
      </c>
    </row>
    <row r="80" spans="1:4" x14ac:dyDescent="0.15">
      <c r="B80" s="420"/>
      <c r="D80" s="424"/>
    </row>
    <row r="81" spans="1:4" x14ac:dyDescent="0.15">
      <c r="A81" s="13" t="s">
        <v>949</v>
      </c>
      <c r="B81" s="420"/>
      <c r="D81" s="424"/>
    </row>
    <row r="82" spans="1:4" x14ac:dyDescent="0.15">
      <c r="A82" s="9" t="s">
        <v>708</v>
      </c>
      <c r="B82" s="420">
        <f>B58</f>
        <v>628.20000000000005</v>
      </c>
      <c r="D82" s="424"/>
    </row>
    <row r="83" spans="1:4" x14ac:dyDescent="0.15">
      <c r="A83" s="9" t="s">
        <v>790</v>
      </c>
      <c r="B83" s="420">
        <f>80%*(D39-B71-B64+B68)</f>
        <v>109.56800000000001</v>
      </c>
      <c r="D83" s="424"/>
    </row>
    <row r="84" spans="1:4" x14ac:dyDescent="0.15">
      <c r="A84" s="29" t="s">
        <v>791</v>
      </c>
      <c r="B84" s="419">
        <f>B72*B73/1000000</f>
        <v>5</v>
      </c>
      <c r="D84" s="424"/>
    </row>
    <row r="85" spans="1:4" x14ac:dyDescent="0.15">
      <c r="A85" s="30" t="s">
        <v>781</v>
      </c>
      <c r="B85" s="116">
        <f>B82-B83-B84</f>
        <v>513.63200000000006</v>
      </c>
      <c r="D85" s="424"/>
    </row>
    <row r="86" spans="1:4" x14ac:dyDescent="0.15">
      <c r="B86" s="420"/>
      <c r="D86" s="424"/>
    </row>
    <row r="87" spans="1:4" x14ac:dyDescent="0.15">
      <c r="A87" s="9" t="s">
        <v>138</v>
      </c>
      <c r="B87" s="116">
        <f>B85/(B41+B62+B67)*1000000</f>
        <v>18.175230007077143</v>
      </c>
      <c r="D87" s="424"/>
    </row>
    <row r="88" spans="1:4" x14ac:dyDescent="0.15">
      <c r="B88" s="116"/>
      <c r="D88" s="424"/>
    </row>
    <row r="89" spans="1:4" x14ac:dyDescent="0.15">
      <c r="A89" s="13" t="s">
        <v>1194</v>
      </c>
      <c r="B89" s="116"/>
      <c r="D89" s="424"/>
    </row>
    <row r="90" spans="1:4" x14ac:dyDescent="0.15">
      <c r="A90" s="9" t="s">
        <v>1195</v>
      </c>
      <c r="B90" s="116">
        <f>B62*B87/1000000</f>
        <v>281.71606510969571</v>
      </c>
      <c r="D90" s="425">
        <f>B90-B64</f>
        <v>-28.283934890304295</v>
      </c>
    </row>
    <row r="91" spans="1:4" x14ac:dyDescent="0.15">
      <c r="A91" s="13" t="s">
        <v>1196</v>
      </c>
      <c r="B91" s="116"/>
      <c r="D91" s="424"/>
    </row>
    <row r="92" spans="1:4" x14ac:dyDescent="0.15">
      <c r="A92" s="9" t="s">
        <v>0</v>
      </c>
      <c r="B92" s="116">
        <f>B87*B41/1000000</f>
        <v>161.94129936305734</v>
      </c>
      <c r="D92" s="425">
        <f>B92-B55</f>
        <v>-51.898700636942664</v>
      </c>
    </row>
    <row r="93" spans="1:4" x14ac:dyDescent="0.15">
      <c r="B93" s="116"/>
      <c r="D93" s="424"/>
    </row>
    <row r="94" spans="1:4" x14ac:dyDescent="0.15">
      <c r="A94" s="13" t="s">
        <v>706</v>
      </c>
      <c r="B94" s="116"/>
      <c r="D94" s="424"/>
    </row>
    <row r="95" spans="1:4" x14ac:dyDescent="0.15">
      <c r="A95" s="9" t="s">
        <v>1085</v>
      </c>
      <c r="B95" s="116">
        <f>B68+B87*B67/1000000</f>
        <v>106.934635527247</v>
      </c>
      <c r="D95" s="425">
        <f>B95-B57</f>
        <v>-22.425364472752989</v>
      </c>
    </row>
    <row r="96" spans="1:4" x14ac:dyDescent="0.15">
      <c r="B96" s="116"/>
    </row>
    <row r="97" spans="1:2" x14ac:dyDescent="0.15">
      <c r="A97" s="9" t="s">
        <v>707</v>
      </c>
      <c r="B97" s="116"/>
    </row>
  </sheetData>
  <phoneticPr fontId="4" type="noConversion"/>
  <pageMargins left="0.7" right="0.7" top="0.75" bottom="0.75" header="0.3" footer="0.3"/>
  <pageSetup paperSize="9" fitToHeight="0" orientation="portrait" r:id="rId1"/>
  <drawing r:id="rId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3:G31"/>
  <sheetViews>
    <sheetView showGridLines="0" workbookViewId="0">
      <selection activeCell="C20" sqref="C20"/>
    </sheetView>
  </sheetViews>
  <sheetFormatPr baseColWidth="10" defaultColWidth="10.6640625" defaultRowHeight="14" x14ac:dyDescent="0.15"/>
  <cols>
    <col min="1" max="1" width="55.1640625" style="9" customWidth="1"/>
    <col min="2" max="2" width="11.5" style="9" customWidth="1"/>
    <col min="3" max="3" width="6.83203125" style="9" customWidth="1"/>
    <col min="4" max="5" width="10.6640625" style="9"/>
    <col min="6" max="6" width="3.6640625" style="9" customWidth="1"/>
    <col min="7" max="16384" width="10.6640625" style="9"/>
  </cols>
  <sheetData>
    <row r="3" spans="1:7" x14ac:dyDescent="0.15">
      <c r="A3" s="13" t="s">
        <v>1295</v>
      </c>
    </row>
    <row r="5" spans="1:7" ht="105" x14ac:dyDescent="0.15">
      <c r="A5" s="426" t="s">
        <v>1396</v>
      </c>
    </row>
    <row r="6" spans="1:7" ht="60" x14ac:dyDescent="0.15">
      <c r="A6" s="426" t="s">
        <v>1302</v>
      </c>
    </row>
    <row r="8" spans="1:7" x14ac:dyDescent="0.15">
      <c r="A8" s="13" t="s">
        <v>1296</v>
      </c>
    </row>
    <row r="10" spans="1:7" ht="90" x14ac:dyDescent="0.15">
      <c r="A10" s="426" t="s">
        <v>1303</v>
      </c>
    </row>
    <row r="12" spans="1:7" x14ac:dyDescent="0.15">
      <c r="A12" s="13" t="s">
        <v>1297</v>
      </c>
    </row>
    <row r="14" spans="1:7" x14ac:dyDescent="0.15">
      <c r="A14" s="9" t="s">
        <v>1026</v>
      </c>
      <c r="B14" s="9" t="s">
        <v>1304</v>
      </c>
      <c r="C14" s="9">
        <v>10</v>
      </c>
      <c r="D14" s="9" t="s">
        <v>383</v>
      </c>
      <c r="E14" s="9" t="s">
        <v>1304</v>
      </c>
      <c r="F14" s="9">
        <v>30</v>
      </c>
      <c r="G14" s="9" t="s">
        <v>383</v>
      </c>
    </row>
    <row r="16" spans="1:7" x14ac:dyDescent="0.15">
      <c r="C16" s="9">
        <v>98</v>
      </c>
      <c r="F16" s="9">
        <v>100</v>
      </c>
    </row>
    <row r="18" spans="1:3" x14ac:dyDescent="0.15">
      <c r="B18" s="9" t="s">
        <v>1298</v>
      </c>
      <c r="C18" s="123">
        <f>(F16/C16)^(365/(F14-C14))-1</f>
        <v>0.4458529273124856</v>
      </c>
    </row>
    <row r="20" spans="1:3" x14ac:dyDescent="0.15">
      <c r="A20" s="13" t="s">
        <v>1299</v>
      </c>
    </row>
    <row r="21" spans="1:3" x14ac:dyDescent="0.15">
      <c r="A21" s="13"/>
    </row>
    <row r="22" spans="1:3" x14ac:dyDescent="0.15">
      <c r="A22" s="9" t="s">
        <v>181</v>
      </c>
      <c r="B22" s="9">
        <v>10</v>
      </c>
      <c r="C22" s="9" t="s">
        <v>1300</v>
      </c>
    </row>
    <row r="23" spans="1:3" x14ac:dyDescent="0.15">
      <c r="A23" s="9" t="s">
        <v>1305</v>
      </c>
      <c r="B23" s="123">
        <v>0.19600000000000001</v>
      </c>
    </row>
    <row r="24" spans="1:3" x14ac:dyDescent="0.15">
      <c r="A24" s="9" t="s">
        <v>1306</v>
      </c>
      <c r="B24" s="15">
        <f>B22*(1+B23)*75/365</f>
        <v>2.4575342465753423</v>
      </c>
    </row>
    <row r="25" spans="1:3" x14ac:dyDescent="0.15">
      <c r="A25" s="9" t="s">
        <v>1307</v>
      </c>
      <c r="B25" s="15">
        <f>B22*(1+B23)*60/365</f>
        <v>1.9660273972602738</v>
      </c>
    </row>
    <row r="26" spans="1:3" x14ac:dyDescent="0.15">
      <c r="A26" s="9" t="s">
        <v>1308</v>
      </c>
      <c r="B26" s="16">
        <f>B24-B25</f>
        <v>0.49150684931506849</v>
      </c>
    </row>
    <row r="27" spans="1:3" x14ac:dyDescent="0.15">
      <c r="A27" s="9" t="s">
        <v>1397</v>
      </c>
      <c r="B27" s="31">
        <f>B26*0.04*1000</f>
        <v>19.660273972602742</v>
      </c>
      <c r="C27" s="307"/>
    </row>
    <row r="29" spans="1:3" x14ac:dyDescent="0.15">
      <c r="A29" s="13" t="s">
        <v>1301</v>
      </c>
    </row>
    <row r="31" spans="1:3" ht="135" x14ac:dyDescent="0.15">
      <c r="A31" s="426" t="s">
        <v>1309</v>
      </c>
    </row>
  </sheetData>
  <pageMargins left="0.7" right="0.7" top="0.75" bottom="0.75" header="0.3" footer="0.3"/>
  <pageSetup paperSize="9" scale="70" fitToHeight="0" orientation="portrait" r:id="rId1"/>
  <drawing r:id="rId2"/>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53"/>
  <sheetViews>
    <sheetView showGridLines="0" workbookViewId="0">
      <selection activeCell="C20" sqref="C20"/>
    </sheetView>
  </sheetViews>
  <sheetFormatPr baseColWidth="10" defaultColWidth="10.6640625" defaultRowHeight="14" x14ac:dyDescent="0.15"/>
  <cols>
    <col min="1" max="1" width="23.5" style="9" bestFit="1" customWidth="1"/>
    <col min="2" max="2" width="11.83203125" style="9" bestFit="1" customWidth="1"/>
    <col min="3" max="5" width="10.6640625" style="9"/>
    <col min="6" max="6" width="12.33203125" style="9" bestFit="1" customWidth="1"/>
    <col min="7" max="16384" width="10.6640625" style="9"/>
  </cols>
  <sheetData>
    <row r="1" spans="1:9" x14ac:dyDescent="0.15">
      <c r="A1" s="32" t="s">
        <v>352</v>
      </c>
    </row>
    <row r="2" spans="1:9" s="12" customFormat="1" ht="30" x14ac:dyDescent="0.15">
      <c r="B2" s="12" t="s">
        <v>431</v>
      </c>
      <c r="C2" s="12" t="s">
        <v>432</v>
      </c>
      <c r="D2" s="12" t="s">
        <v>433</v>
      </c>
    </row>
    <row r="3" spans="1:9" x14ac:dyDescent="0.15">
      <c r="A3" s="9" t="s">
        <v>429</v>
      </c>
      <c r="B3" s="210">
        <f>4%+6/800</f>
        <v>4.7500000000000001E-2</v>
      </c>
      <c r="C3" s="210">
        <f>4%+7/800</f>
        <v>4.8750000000000002E-2</v>
      </c>
      <c r="F3" s="202"/>
    </row>
    <row r="4" spans="1:9" x14ac:dyDescent="0.15">
      <c r="A4" s="9" t="s">
        <v>430</v>
      </c>
      <c r="B4" s="210">
        <f>(3+7/8)/100</f>
        <v>3.875E-2</v>
      </c>
      <c r="C4" s="210">
        <v>0.04</v>
      </c>
      <c r="F4" s="202"/>
    </row>
    <row r="5" spans="1:9" x14ac:dyDescent="0.15">
      <c r="A5" s="9" t="s">
        <v>956</v>
      </c>
      <c r="B5" s="9">
        <v>1.0209999999999999</v>
      </c>
      <c r="C5" s="9">
        <v>1.022</v>
      </c>
      <c r="D5" s="9" t="s">
        <v>957</v>
      </c>
      <c r="F5" s="202"/>
    </row>
    <row r="6" spans="1:9" x14ac:dyDescent="0.15">
      <c r="A6" s="9" t="s">
        <v>855</v>
      </c>
      <c r="B6" s="9">
        <f>1/C5</f>
        <v>0.97847358121330719</v>
      </c>
      <c r="C6" s="9">
        <f>1/B5</f>
        <v>0.97943192948090119</v>
      </c>
      <c r="D6" s="9" t="s">
        <v>813</v>
      </c>
      <c r="F6" s="9">
        <f>B6*(1+C3/4)/(1+B4/4)</f>
        <v>0.98089629512531773</v>
      </c>
      <c r="G6" s="9">
        <f>B6*(1+B3/4)/(1+C4/4)</f>
        <v>0.98029005444575779</v>
      </c>
      <c r="H6" s="9">
        <f>C6*(1+C3/4)/(1+B4/4)</f>
        <v>0.9818570162762732</v>
      </c>
      <c r="I6" s="9">
        <f>C6*(1+B3/4)/(1+C4/4)</f>
        <v>0.9812501818252346</v>
      </c>
    </row>
    <row r="7" spans="1:9" x14ac:dyDescent="0.15">
      <c r="F7" s="9">
        <f>B6*(1+B3/4)/(1+B4/4)</f>
        <v>0.98059345588631652</v>
      </c>
      <c r="G7" s="9">
        <f>B6*(1+C3/4)/(1+C4/4)</f>
        <v>0.98059279998449933</v>
      </c>
      <c r="H7" s="9">
        <f>C6*(1+B3/4)/(1+B4/4)</f>
        <v>0.98155388042685177</v>
      </c>
      <c r="I7" s="9">
        <f>C6*(1+C3/4)/(1+C4/4)</f>
        <v>0.98155322388262345</v>
      </c>
    </row>
    <row r="8" spans="1:9" ht="45" x14ac:dyDescent="0.15">
      <c r="A8" s="9" t="s">
        <v>959</v>
      </c>
      <c r="B8" s="12" t="s">
        <v>434</v>
      </c>
      <c r="C8" s="12" t="s">
        <v>435</v>
      </c>
      <c r="D8" s="9" t="s">
        <v>813</v>
      </c>
      <c r="F8" s="9">
        <f>B6*(1+B4/4)/(1+C3/4)</f>
        <v>0.97605685115782514</v>
      </c>
      <c r="G8" s="9">
        <f>B6*(1+C4/4)/(1+B3/4)</f>
        <v>0.97666047389790267</v>
      </c>
      <c r="H8" s="9">
        <f>C6*(1+B4/4)/(1+C3/4)</f>
        <v>0.97701283240283798</v>
      </c>
      <c r="I8" s="9">
        <f>C6*(1+C4/4)/(1+B3/4)</f>
        <v>0.97761704635030033</v>
      </c>
    </row>
    <row r="9" spans="1:9" x14ac:dyDescent="0.15">
      <c r="B9" s="12"/>
      <c r="C9" s="12"/>
      <c r="F9" s="9">
        <f>B6*(1+B4/4)/(1+B3/4)</f>
        <v>0.9763582893453352</v>
      </c>
      <c r="G9" s="9">
        <f>B6*(1+C4/4)/(1+C3/4)</f>
        <v>0.9763589424147604</v>
      </c>
      <c r="H9" s="9">
        <f>C6*(1+B4/4)/(1+B3/4)</f>
        <v>0.9773145658285336</v>
      </c>
      <c r="I9" s="9">
        <f>C6*(1+C4/4)/(1+C3/4)</f>
        <v>0.9773152195375957</v>
      </c>
    </row>
    <row r="10" spans="1:9" ht="30" x14ac:dyDescent="0.15">
      <c r="B10" s="12" t="s">
        <v>436</v>
      </c>
      <c r="C10" s="12" t="s">
        <v>437</v>
      </c>
      <c r="F10" s="9">
        <f>B6*(1+F4/4)/(1+F3/4)</f>
        <v>0.97847358121330719</v>
      </c>
    </row>
    <row r="11" spans="1:9" x14ac:dyDescent="0.15">
      <c r="B11" s="12">
        <f>1/(1+C4*90/360)</f>
        <v>0.99009900990099009</v>
      </c>
      <c r="C11" s="12">
        <f>1/(1+B4/4)</f>
        <v>0.99040544722995971</v>
      </c>
    </row>
    <row r="12" spans="1:9" ht="30" x14ac:dyDescent="0.15">
      <c r="B12" s="12" t="s">
        <v>438</v>
      </c>
      <c r="C12" s="12" t="s">
        <v>439</v>
      </c>
    </row>
    <row r="13" spans="1:9" x14ac:dyDescent="0.15">
      <c r="A13" s="9" t="s">
        <v>958</v>
      </c>
      <c r="B13" s="12">
        <f>B6</f>
        <v>0.97847358121330719</v>
      </c>
      <c r="C13" s="12">
        <f>C6</f>
        <v>0.97943192948090119</v>
      </c>
      <c r="D13" s="9" t="s">
        <v>813</v>
      </c>
    </row>
    <row r="14" spans="1:9" ht="30" x14ac:dyDescent="0.15">
      <c r="B14" s="12" t="s">
        <v>440</v>
      </c>
      <c r="C14" s="12" t="s">
        <v>441</v>
      </c>
    </row>
    <row r="15" spans="1:9" x14ac:dyDescent="0.15">
      <c r="B15" s="12">
        <f>(1+B3*90/360)</f>
        <v>1.0118750000000001</v>
      </c>
      <c r="C15" s="12">
        <f>(1+C3/4)</f>
        <v>1.0121875</v>
      </c>
    </row>
    <row r="17" spans="1:7" x14ac:dyDescent="0.15">
      <c r="A17" s="13" t="s">
        <v>959</v>
      </c>
      <c r="B17" s="415">
        <f>B11*B13*B15</f>
        <v>0.98029005444575767</v>
      </c>
      <c r="C17" s="415">
        <f>C11*C13*C15</f>
        <v>0.98185701627627331</v>
      </c>
      <c r="D17" s="9" t="s">
        <v>813</v>
      </c>
    </row>
    <row r="18" spans="1:7" x14ac:dyDescent="0.15">
      <c r="B18" s="427">
        <f>1/B17</f>
        <v>1.0201062384187771</v>
      </c>
      <c r="C18" s="427">
        <f>1/C17</f>
        <v>1.0184782340228464</v>
      </c>
      <c r="D18" s="13" t="s">
        <v>957</v>
      </c>
    </row>
    <row r="19" spans="1:7" x14ac:dyDescent="0.15">
      <c r="B19" s="415"/>
      <c r="C19" s="415"/>
    </row>
    <row r="20" spans="1:7" x14ac:dyDescent="0.15">
      <c r="A20" s="32" t="s">
        <v>974</v>
      </c>
      <c r="G20" s="202"/>
    </row>
    <row r="21" spans="1:7" ht="15" x14ac:dyDescent="0.15">
      <c r="B21" s="12" t="s">
        <v>431</v>
      </c>
      <c r="C21" s="12" t="s">
        <v>432</v>
      </c>
    </row>
    <row r="22" spans="1:7" x14ac:dyDescent="0.15">
      <c r="A22" s="9" t="s">
        <v>443</v>
      </c>
      <c r="B22" s="221">
        <f>(4+4/8)/100</f>
        <v>4.4999999999999998E-2</v>
      </c>
      <c r="C22" s="221">
        <f>(4+5/8)/100</f>
        <v>4.6249999999999999E-2</v>
      </c>
    </row>
    <row r="23" spans="1:7" x14ac:dyDescent="0.15">
      <c r="A23" s="9" t="s">
        <v>960</v>
      </c>
      <c r="B23" s="9">
        <v>1.0209999999999999</v>
      </c>
      <c r="C23" s="9">
        <v>1.022</v>
      </c>
      <c r="D23" s="9" t="s">
        <v>957</v>
      </c>
    </row>
    <row r="24" spans="1:7" x14ac:dyDescent="0.15">
      <c r="A24" s="9" t="s">
        <v>442</v>
      </c>
      <c r="B24" s="9">
        <v>1.0149999999999999</v>
      </c>
      <c r="C24" s="9">
        <v>1.016</v>
      </c>
      <c r="D24" s="9" t="s">
        <v>957</v>
      </c>
    </row>
    <row r="26" spans="1:7" ht="45" x14ac:dyDescent="0.15">
      <c r="B26" s="12" t="s">
        <v>444</v>
      </c>
      <c r="C26" s="12" t="s">
        <v>445</v>
      </c>
    </row>
    <row r="28" spans="1:7" ht="15" x14ac:dyDescent="0.15">
      <c r="B28" s="12" t="s">
        <v>446</v>
      </c>
      <c r="C28" s="12" t="s">
        <v>447</v>
      </c>
    </row>
    <row r="29" spans="1:7" x14ac:dyDescent="0.15">
      <c r="B29" s="162">
        <f>B22</f>
        <v>4.4999999999999998E-2</v>
      </c>
      <c r="C29" s="9">
        <f>1/B23</f>
        <v>0.97943192948090119</v>
      </c>
    </row>
    <row r="30" spans="1:7" ht="15" x14ac:dyDescent="0.15">
      <c r="B30" s="12" t="s">
        <v>448</v>
      </c>
      <c r="C30" s="12" t="s">
        <v>449</v>
      </c>
    </row>
    <row r="31" spans="1:7" x14ac:dyDescent="0.15">
      <c r="B31" s="12">
        <f>1/C23</f>
        <v>0.97847358121330719</v>
      </c>
      <c r="C31" s="162">
        <f>C22</f>
        <v>4.6249999999999999E-2</v>
      </c>
    </row>
    <row r="32" spans="1:7" ht="30" x14ac:dyDescent="0.15">
      <c r="B32" s="12" t="s">
        <v>451</v>
      </c>
      <c r="C32" s="12" t="s">
        <v>452</v>
      </c>
    </row>
    <row r="33" spans="1:7" x14ac:dyDescent="0.15">
      <c r="B33" s="9">
        <f>B24</f>
        <v>1.0149999999999999</v>
      </c>
      <c r="C33" s="9">
        <f>C24</f>
        <v>1.016</v>
      </c>
    </row>
    <row r="35" spans="1:7" x14ac:dyDescent="0.15">
      <c r="A35" s="13" t="s">
        <v>450</v>
      </c>
      <c r="B35" s="208">
        <f>((1+B29*180/360)*B31*B33-1)*360/180</f>
        <v>3.0993150684931248E-2</v>
      </c>
      <c r="C35" s="208">
        <f>((C29*(1+C31*180/360)*C33)-1)*360/180</f>
        <v>3.6229187071498803E-2</v>
      </c>
    </row>
    <row r="37" spans="1:7" x14ac:dyDescent="0.15">
      <c r="A37" s="32" t="s">
        <v>984</v>
      </c>
    </row>
    <row r="38" spans="1:7" ht="15" x14ac:dyDescent="0.15">
      <c r="B38" s="12" t="s">
        <v>431</v>
      </c>
      <c r="C38" s="12" t="s">
        <v>432</v>
      </c>
      <c r="D38" s="9" t="s">
        <v>453</v>
      </c>
    </row>
    <row r="39" spans="1:7" ht="30" x14ac:dyDescent="0.15">
      <c r="A39" s="12" t="s">
        <v>454</v>
      </c>
      <c r="B39" s="210">
        <v>3.7499999999999999E-2</v>
      </c>
      <c r="C39" s="210">
        <v>3.875E-2</v>
      </c>
    </row>
    <row r="40" spans="1:7" x14ac:dyDescent="0.15">
      <c r="A40" s="12"/>
      <c r="B40" s="210"/>
      <c r="C40" s="210"/>
    </row>
    <row r="41" spans="1:7" x14ac:dyDescent="0.15">
      <c r="A41" s="12"/>
      <c r="B41" s="428"/>
      <c r="C41" s="429"/>
    </row>
    <row r="42" spans="1:7" x14ac:dyDescent="0.15">
      <c r="B42" s="9" t="s">
        <v>1104</v>
      </c>
      <c r="C42" s="9" t="s">
        <v>801</v>
      </c>
      <c r="D42" s="9" t="s">
        <v>1012</v>
      </c>
      <c r="E42" s="9" t="s">
        <v>1013</v>
      </c>
    </row>
    <row r="43" spans="1:7" x14ac:dyDescent="0.15">
      <c r="A43" s="12"/>
      <c r="B43" s="398"/>
      <c r="E43" s="13"/>
      <c r="F43" s="430"/>
    </row>
    <row r="44" spans="1:7" x14ac:dyDescent="0.15">
      <c r="A44" s="293" t="s">
        <v>3</v>
      </c>
      <c r="B44" s="398"/>
    </row>
    <row r="45" spans="1:7" ht="15" x14ac:dyDescent="0.15">
      <c r="A45" s="431" t="s">
        <v>455</v>
      </c>
      <c r="B45" s="432">
        <f>500000000/(1+D46/4)</f>
        <v>495202723.61497986</v>
      </c>
      <c r="C45" s="431">
        <v>0</v>
      </c>
      <c r="D45" s="433">
        <f>C35</f>
        <v>3.6229187071498803E-2</v>
      </c>
      <c r="E45" s="434">
        <v>180</v>
      </c>
      <c r="F45" s="480">
        <v>0</v>
      </c>
      <c r="G45" s="12"/>
    </row>
    <row r="46" spans="1:7" x14ac:dyDescent="0.15">
      <c r="A46" s="29" t="s">
        <v>456</v>
      </c>
      <c r="B46" s="435">
        <f>-B45</f>
        <v>-495202723.61497986</v>
      </c>
      <c r="C46" s="294">
        <v>0</v>
      </c>
      <c r="D46" s="436">
        <f>B4</f>
        <v>3.875E-2</v>
      </c>
      <c r="E46" s="294">
        <v>90</v>
      </c>
      <c r="F46" s="481"/>
      <c r="G46" s="12"/>
    </row>
    <row r="47" spans="1:7" x14ac:dyDescent="0.15">
      <c r="A47" s="9" t="s">
        <v>457</v>
      </c>
      <c r="B47" s="398">
        <f>-B46*(1+D46*E46/360)</f>
        <v>500000000</v>
      </c>
      <c r="C47" s="9">
        <v>90</v>
      </c>
      <c r="D47" s="162"/>
      <c r="F47" s="480">
        <v>0</v>
      </c>
    </row>
    <row r="48" spans="1:7" x14ac:dyDescent="0.15">
      <c r="A48" s="9" t="s">
        <v>2</v>
      </c>
      <c r="B48" s="398">
        <v>-500000000</v>
      </c>
      <c r="C48" s="9">
        <v>90</v>
      </c>
      <c r="D48" s="162">
        <f>B39</f>
        <v>3.7499999999999999E-2</v>
      </c>
      <c r="E48" s="9">
        <v>90</v>
      </c>
      <c r="F48" s="481"/>
    </row>
    <row r="49" spans="1:6" x14ac:dyDescent="0.15">
      <c r="A49" s="434" t="s">
        <v>457</v>
      </c>
      <c r="B49" s="432">
        <f>-B48*(1+D48*E48/360)</f>
        <v>504687499.99999994</v>
      </c>
      <c r="C49" s="431">
        <v>180</v>
      </c>
      <c r="D49" s="437"/>
      <c r="E49" s="434"/>
      <c r="F49" s="482">
        <f>B49+B50</f>
        <v>514380.32893866301</v>
      </c>
    </row>
    <row r="50" spans="1:6" x14ac:dyDescent="0.15">
      <c r="A50" s="29" t="s">
        <v>458</v>
      </c>
      <c r="B50" s="435">
        <f>-B45*(1+D45*E45/360)</f>
        <v>-504173119.67106128</v>
      </c>
      <c r="C50" s="294">
        <v>180</v>
      </c>
      <c r="D50" s="294"/>
      <c r="E50" s="294"/>
      <c r="F50" s="483"/>
    </row>
    <row r="51" spans="1:6" x14ac:dyDescent="0.15">
      <c r="E51" s="13"/>
      <c r="F51" s="430"/>
    </row>
    <row r="53" spans="1:6" x14ac:dyDescent="0.15">
      <c r="A53" s="293"/>
      <c r="B53" s="266"/>
      <c r="F53" s="430"/>
    </row>
  </sheetData>
  <mergeCells count="3">
    <mergeCell ref="F45:F46"/>
    <mergeCell ref="F47:F48"/>
    <mergeCell ref="F49:F50"/>
  </mergeCells>
  <phoneticPr fontId="4" type="noConversion"/>
  <pageMargins left="0.7" right="0.7" top="0.75" bottom="0.75" header="0.3" footer="0.3"/>
  <pageSetup paperSize="9" scale="63" fitToHeight="0" orientation="portrait" r:id="rId1"/>
  <drawing r:id="rId2"/>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V132"/>
  <sheetViews>
    <sheetView showGridLines="0" workbookViewId="0">
      <selection activeCell="C20" sqref="C20"/>
    </sheetView>
  </sheetViews>
  <sheetFormatPr baseColWidth="10" defaultColWidth="10.6640625" defaultRowHeight="13" outlineLevelRow="1" x14ac:dyDescent="0.15"/>
  <cols>
    <col min="1" max="1" width="56.83203125" style="438" customWidth="1"/>
    <col min="2" max="16384" width="10.6640625" style="438"/>
  </cols>
  <sheetData>
    <row r="1" spans="1:22" x14ac:dyDescent="0.15">
      <c r="A1" s="484" t="s">
        <v>1434</v>
      </c>
      <c r="B1" s="484"/>
      <c r="C1" s="484"/>
      <c r="D1" s="484"/>
      <c r="E1" s="484"/>
      <c r="F1" s="484"/>
      <c r="G1" s="484"/>
      <c r="H1" s="484"/>
    </row>
    <row r="2" spans="1:22" x14ac:dyDescent="0.15">
      <c r="A2" s="466"/>
      <c r="B2" s="466"/>
      <c r="C2" s="466"/>
      <c r="D2" s="466"/>
      <c r="E2" s="466"/>
      <c r="F2" s="466"/>
      <c r="G2" s="466"/>
      <c r="H2" s="466"/>
    </row>
    <row r="4" spans="1:22" x14ac:dyDescent="0.15">
      <c r="A4" s="438" t="s">
        <v>1421</v>
      </c>
      <c r="H4" s="464"/>
      <c r="I4" s="464"/>
      <c r="J4" s="464"/>
      <c r="K4" s="464"/>
      <c r="L4" s="464"/>
      <c r="M4" s="464"/>
      <c r="N4" s="464"/>
      <c r="O4" s="464"/>
      <c r="P4" s="464"/>
      <c r="Q4" s="464"/>
      <c r="R4" s="464"/>
      <c r="S4" s="464"/>
      <c r="T4" s="464"/>
      <c r="U4" s="464"/>
      <c r="V4" s="464"/>
    </row>
    <row r="6" spans="1:22" x14ac:dyDescent="0.15">
      <c r="B6" s="464" t="s">
        <v>1314</v>
      </c>
      <c r="C6" s="464" t="s">
        <v>1315</v>
      </c>
      <c r="D6" s="464" t="s">
        <v>1316</v>
      </c>
      <c r="E6" s="464" t="s">
        <v>1317</v>
      </c>
      <c r="F6" s="464" t="s">
        <v>1414</v>
      </c>
      <c r="G6" s="464" t="s">
        <v>1413</v>
      </c>
      <c r="H6" s="464" t="s">
        <v>1412</v>
      </c>
      <c r="I6" s="464" t="s">
        <v>1411</v>
      </c>
      <c r="J6" s="464" t="s">
        <v>1410</v>
      </c>
      <c r="K6" s="464" t="s">
        <v>1409</v>
      </c>
      <c r="L6" s="464" t="s">
        <v>1408</v>
      </c>
      <c r="M6" s="464" t="s">
        <v>1407</v>
      </c>
      <c r="N6" s="464" t="s">
        <v>1406</v>
      </c>
      <c r="O6" s="464" t="s">
        <v>1405</v>
      </c>
      <c r="P6" s="464" t="s">
        <v>1404</v>
      </c>
      <c r="Q6" s="464" t="s">
        <v>1403</v>
      </c>
      <c r="R6" s="464" t="s">
        <v>1402</v>
      </c>
      <c r="S6" s="464" t="s">
        <v>1401</v>
      </c>
      <c r="T6" s="464" t="s">
        <v>1400</v>
      </c>
      <c r="U6" s="464" t="s">
        <v>1399</v>
      </c>
      <c r="V6" s="464" t="s">
        <v>1398</v>
      </c>
    </row>
    <row r="8" spans="1:22" x14ac:dyDescent="0.15">
      <c r="A8" s="438" t="s">
        <v>227</v>
      </c>
      <c r="B8" s="463">
        <v>0</v>
      </c>
      <c r="C8" s="462">
        <v>3429</v>
      </c>
      <c r="D8" s="462">
        <v>5988</v>
      </c>
      <c r="E8" s="462">
        <v>6800</v>
      </c>
      <c r="F8" s="462">
        <v>7088</v>
      </c>
      <c r="G8" s="462">
        <v>7390</v>
      </c>
      <c r="H8" s="462">
        <v>7635</v>
      </c>
      <c r="I8" s="462">
        <f t="shared" ref="I8:V8" si="0">H8</f>
        <v>7635</v>
      </c>
      <c r="J8" s="462">
        <f t="shared" si="0"/>
        <v>7635</v>
      </c>
      <c r="K8" s="462">
        <f t="shared" si="0"/>
        <v>7635</v>
      </c>
      <c r="L8" s="462">
        <f t="shared" si="0"/>
        <v>7635</v>
      </c>
      <c r="M8" s="462">
        <f t="shared" si="0"/>
        <v>7635</v>
      </c>
      <c r="N8" s="462">
        <f t="shared" si="0"/>
        <v>7635</v>
      </c>
      <c r="O8" s="462">
        <f t="shared" si="0"/>
        <v>7635</v>
      </c>
      <c r="P8" s="462">
        <f t="shared" si="0"/>
        <v>7635</v>
      </c>
      <c r="Q8" s="462">
        <f t="shared" si="0"/>
        <v>7635</v>
      </c>
      <c r="R8" s="462">
        <f t="shared" si="0"/>
        <v>7635</v>
      </c>
      <c r="S8" s="462">
        <f t="shared" si="0"/>
        <v>7635</v>
      </c>
      <c r="T8" s="462">
        <f t="shared" si="0"/>
        <v>7635</v>
      </c>
      <c r="U8" s="462">
        <f t="shared" si="0"/>
        <v>7635</v>
      </c>
      <c r="V8" s="462">
        <f t="shared" si="0"/>
        <v>7635</v>
      </c>
    </row>
    <row r="9" spans="1:22" x14ac:dyDescent="0.15">
      <c r="A9" s="438" t="s">
        <v>1415</v>
      </c>
      <c r="B9" s="461">
        <v>0</v>
      </c>
      <c r="C9" s="460">
        <v>-1484</v>
      </c>
      <c r="D9" s="460">
        <v>-2551</v>
      </c>
      <c r="E9" s="460">
        <v>-2912</v>
      </c>
      <c r="F9" s="460">
        <v>-3047</v>
      </c>
      <c r="G9" s="460">
        <v>-3190</v>
      </c>
      <c r="H9" s="460">
        <v>-3301</v>
      </c>
      <c r="I9" s="460">
        <f t="shared" ref="I9:V9" si="1">H9</f>
        <v>-3301</v>
      </c>
      <c r="J9" s="460">
        <f t="shared" si="1"/>
        <v>-3301</v>
      </c>
      <c r="K9" s="460">
        <f t="shared" si="1"/>
        <v>-3301</v>
      </c>
      <c r="L9" s="460">
        <f t="shared" si="1"/>
        <v>-3301</v>
      </c>
      <c r="M9" s="460">
        <f t="shared" si="1"/>
        <v>-3301</v>
      </c>
      <c r="N9" s="460">
        <f t="shared" si="1"/>
        <v>-3301</v>
      </c>
      <c r="O9" s="460">
        <f t="shared" si="1"/>
        <v>-3301</v>
      </c>
      <c r="P9" s="460">
        <f t="shared" si="1"/>
        <v>-3301</v>
      </c>
      <c r="Q9" s="460">
        <f t="shared" si="1"/>
        <v>-3301</v>
      </c>
      <c r="R9" s="460">
        <f t="shared" si="1"/>
        <v>-3301</v>
      </c>
      <c r="S9" s="460">
        <f t="shared" si="1"/>
        <v>-3301</v>
      </c>
      <c r="T9" s="460">
        <f t="shared" si="1"/>
        <v>-3301</v>
      </c>
      <c r="U9" s="460">
        <f t="shared" si="1"/>
        <v>-3301</v>
      </c>
      <c r="V9" s="460">
        <f t="shared" si="1"/>
        <v>-3301</v>
      </c>
    </row>
    <row r="10" spans="1:22" x14ac:dyDescent="0.15">
      <c r="A10" s="438" t="s">
        <v>1416</v>
      </c>
      <c r="B10" s="461">
        <v>0</v>
      </c>
      <c r="C10" s="460">
        <v>-667</v>
      </c>
      <c r="D10" s="460">
        <v>-887</v>
      </c>
      <c r="E10" s="460">
        <v>-913</v>
      </c>
      <c r="F10" s="460">
        <v>-941</v>
      </c>
      <c r="G10" s="460">
        <v>-969</v>
      </c>
      <c r="H10" s="460">
        <v>-988</v>
      </c>
      <c r="I10" s="460">
        <f t="shared" ref="I10:V10" si="2">H10</f>
        <v>-988</v>
      </c>
      <c r="J10" s="460">
        <f t="shared" si="2"/>
        <v>-988</v>
      </c>
      <c r="K10" s="460">
        <f t="shared" si="2"/>
        <v>-988</v>
      </c>
      <c r="L10" s="460">
        <f t="shared" si="2"/>
        <v>-988</v>
      </c>
      <c r="M10" s="460">
        <f t="shared" si="2"/>
        <v>-988</v>
      </c>
      <c r="N10" s="460">
        <f t="shared" si="2"/>
        <v>-988</v>
      </c>
      <c r="O10" s="460">
        <f t="shared" si="2"/>
        <v>-988</v>
      </c>
      <c r="P10" s="460">
        <f t="shared" si="2"/>
        <v>-988</v>
      </c>
      <c r="Q10" s="460">
        <f t="shared" si="2"/>
        <v>-988</v>
      </c>
      <c r="R10" s="460">
        <f t="shared" si="2"/>
        <v>-988</v>
      </c>
      <c r="S10" s="460">
        <f t="shared" si="2"/>
        <v>-988</v>
      </c>
      <c r="T10" s="460">
        <f t="shared" si="2"/>
        <v>-988</v>
      </c>
      <c r="U10" s="460">
        <f t="shared" si="2"/>
        <v>-988</v>
      </c>
      <c r="V10" s="460">
        <f t="shared" si="2"/>
        <v>-988</v>
      </c>
    </row>
    <row r="11" spans="1:22" x14ac:dyDescent="0.15">
      <c r="A11" s="438" t="s">
        <v>1417</v>
      </c>
      <c r="B11" s="461">
        <v>0</v>
      </c>
      <c r="C11" s="460">
        <f>-1152+667+273</f>
        <v>-212</v>
      </c>
      <c r="D11" s="460">
        <v>-51</v>
      </c>
      <c r="E11" s="460">
        <v>169</v>
      </c>
      <c r="F11" s="460">
        <v>176</v>
      </c>
      <c r="G11" s="460">
        <v>181</v>
      </c>
      <c r="H11" s="460">
        <v>197</v>
      </c>
      <c r="I11" s="460">
        <f t="shared" ref="I11:V11" si="3">H11</f>
        <v>197</v>
      </c>
      <c r="J11" s="460">
        <f t="shared" si="3"/>
        <v>197</v>
      </c>
      <c r="K11" s="460">
        <f t="shared" si="3"/>
        <v>197</v>
      </c>
      <c r="L11" s="460">
        <f t="shared" si="3"/>
        <v>197</v>
      </c>
      <c r="M11" s="460">
        <f t="shared" si="3"/>
        <v>197</v>
      </c>
      <c r="N11" s="460">
        <f t="shared" si="3"/>
        <v>197</v>
      </c>
      <c r="O11" s="460">
        <f t="shared" si="3"/>
        <v>197</v>
      </c>
      <c r="P11" s="460">
        <f t="shared" si="3"/>
        <v>197</v>
      </c>
      <c r="Q11" s="460">
        <f t="shared" si="3"/>
        <v>197</v>
      </c>
      <c r="R11" s="460">
        <f t="shared" si="3"/>
        <v>197</v>
      </c>
      <c r="S11" s="460">
        <f t="shared" si="3"/>
        <v>197</v>
      </c>
      <c r="T11" s="460">
        <f t="shared" si="3"/>
        <v>197</v>
      </c>
      <c r="U11" s="460">
        <f t="shared" si="3"/>
        <v>197</v>
      </c>
      <c r="V11" s="460">
        <f t="shared" si="3"/>
        <v>197</v>
      </c>
    </row>
    <row r="12" spans="1:22" x14ac:dyDescent="0.15">
      <c r="A12" s="438" t="s">
        <v>1418</v>
      </c>
      <c r="B12" s="461">
        <v>0</v>
      </c>
      <c r="C12" s="460">
        <v>0</v>
      </c>
      <c r="D12" s="460">
        <v>0</v>
      </c>
      <c r="E12" s="460">
        <v>0</v>
      </c>
      <c r="F12" s="460">
        <v>0</v>
      </c>
      <c r="G12" s="460">
        <v>0</v>
      </c>
      <c r="H12" s="460">
        <v>0</v>
      </c>
      <c r="I12" s="460">
        <f t="shared" ref="I12:V12" si="4">H12</f>
        <v>0</v>
      </c>
      <c r="J12" s="460">
        <f t="shared" si="4"/>
        <v>0</v>
      </c>
      <c r="K12" s="460">
        <f t="shared" si="4"/>
        <v>0</v>
      </c>
      <c r="L12" s="460">
        <f t="shared" si="4"/>
        <v>0</v>
      </c>
      <c r="M12" s="460">
        <f t="shared" si="4"/>
        <v>0</v>
      </c>
      <c r="N12" s="460">
        <f t="shared" si="4"/>
        <v>0</v>
      </c>
      <c r="O12" s="460">
        <f t="shared" si="4"/>
        <v>0</v>
      </c>
      <c r="P12" s="460">
        <f t="shared" si="4"/>
        <v>0</v>
      </c>
      <c r="Q12" s="460">
        <f t="shared" si="4"/>
        <v>0</v>
      </c>
      <c r="R12" s="460">
        <f t="shared" si="4"/>
        <v>0</v>
      </c>
      <c r="S12" s="460">
        <f t="shared" si="4"/>
        <v>0</v>
      </c>
      <c r="T12" s="460">
        <f t="shared" si="4"/>
        <v>0</v>
      </c>
      <c r="U12" s="460">
        <f t="shared" si="4"/>
        <v>0</v>
      </c>
      <c r="V12" s="460">
        <f t="shared" si="4"/>
        <v>0</v>
      </c>
    </row>
    <row r="13" spans="1:22" x14ac:dyDescent="0.15">
      <c r="A13" s="459" t="s">
        <v>177</v>
      </c>
      <c r="B13" s="457">
        <v>0</v>
      </c>
      <c r="C13" s="456">
        <f t="shared" ref="C13:V13" si="5">+SUM(C8:C12)</f>
        <v>1066</v>
      </c>
      <c r="D13" s="456">
        <f t="shared" si="5"/>
        <v>2499</v>
      </c>
      <c r="E13" s="456">
        <f t="shared" si="5"/>
        <v>3144</v>
      </c>
      <c r="F13" s="456">
        <f t="shared" si="5"/>
        <v>3276</v>
      </c>
      <c r="G13" s="456">
        <f t="shared" si="5"/>
        <v>3412</v>
      </c>
      <c r="H13" s="456">
        <f t="shared" si="5"/>
        <v>3543</v>
      </c>
      <c r="I13" s="456">
        <f t="shared" si="5"/>
        <v>3543</v>
      </c>
      <c r="J13" s="456">
        <f t="shared" si="5"/>
        <v>3543</v>
      </c>
      <c r="K13" s="456">
        <f t="shared" si="5"/>
        <v>3543</v>
      </c>
      <c r="L13" s="456">
        <f t="shared" si="5"/>
        <v>3543</v>
      </c>
      <c r="M13" s="456">
        <f t="shared" si="5"/>
        <v>3543</v>
      </c>
      <c r="N13" s="456">
        <f t="shared" si="5"/>
        <v>3543</v>
      </c>
      <c r="O13" s="456">
        <f t="shared" si="5"/>
        <v>3543</v>
      </c>
      <c r="P13" s="456">
        <f t="shared" si="5"/>
        <v>3543</v>
      </c>
      <c r="Q13" s="456">
        <f t="shared" si="5"/>
        <v>3543</v>
      </c>
      <c r="R13" s="456">
        <f t="shared" si="5"/>
        <v>3543</v>
      </c>
      <c r="S13" s="456">
        <f t="shared" si="5"/>
        <v>3543</v>
      </c>
      <c r="T13" s="456">
        <f t="shared" si="5"/>
        <v>3543</v>
      </c>
      <c r="U13" s="456">
        <f t="shared" si="5"/>
        <v>3543</v>
      </c>
      <c r="V13" s="456">
        <f t="shared" si="5"/>
        <v>3543</v>
      </c>
    </row>
    <row r="14" spans="1:22" outlineLevel="1" x14ac:dyDescent="0.15">
      <c r="A14" s="438" t="s">
        <v>178</v>
      </c>
      <c r="B14" s="461">
        <v>0</v>
      </c>
      <c r="C14" s="460">
        <f>-(B26-3700)/15</f>
        <v>-1000</v>
      </c>
      <c r="D14" s="460">
        <f t="shared" ref="D14:Q14" si="6">C14</f>
        <v>-1000</v>
      </c>
      <c r="E14" s="460">
        <f t="shared" si="6"/>
        <v>-1000</v>
      </c>
      <c r="F14" s="460">
        <f t="shared" si="6"/>
        <v>-1000</v>
      </c>
      <c r="G14" s="460">
        <f t="shared" si="6"/>
        <v>-1000</v>
      </c>
      <c r="H14" s="460">
        <f t="shared" si="6"/>
        <v>-1000</v>
      </c>
      <c r="I14" s="460">
        <f t="shared" si="6"/>
        <v>-1000</v>
      </c>
      <c r="J14" s="460">
        <f t="shared" si="6"/>
        <v>-1000</v>
      </c>
      <c r="K14" s="460">
        <f t="shared" si="6"/>
        <v>-1000</v>
      </c>
      <c r="L14" s="460">
        <f t="shared" si="6"/>
        <v>-1000</v>
      </c>
      <c r="M14" s="460">
        <f t="shared" si="6"/>
        <v>-1000</v>
      </c>
      <c r="N14" s="460">
        <f t="shared" si="6"/>
        <v>-1000</v>
      </c>
      <c r="O14" s="460">
        <f t="shared" si="6"/>
        <v>-1000</v>
      </c>
      <c r="P14" s="460">
        <f t="shared" si="6"/>
        <v>-1000</v>
      </c>
      <c r="Q14" s="460">
        <f t="shared" si="6"/>
        <v>-1000</v>
      </c>
      <c r="R14" s="460">
        <v>0</v>
      </c>
      <c r="S14" s="460">
        <f>R14</f>
        <v>0</v>
      </c>
      <c r="T14" s="460">
        <f>S14</f>
        <v>0</v>
      </c>
      <c r="U14" s="460">
        <f>T14</f>
        <v>0</v>
      </c>
      <c r="V14" s="460">
        <f>U14</f>
        <v>0</v>
      </c>
    </row>
    <row r="15" spans="1:22" outlineLevel="1" x14ac:dyDescent="0.15">
      <c r="A15" s="459" t="s">
        <v>346</v>
      </c>
      <c r="B15" s="457">
        <v>0</v>
      </c>
      <c r="C15" s="456">
        <f t="shared" ref="C15:V15" si="7">+C13+C14</f>
        <v>66</v>
      </c>
      <c r="D15" s="456">
        <f t="shared" si="7"/>
        <v>1499</v>
      </c>
      <c r="E15" s="456">
        <f t="shared" si="7"/>
        <v>2144</v>
      </c>
      <c r="F15" s="456">
        <f t="shared" si="7"/>
        <v>2276</v>
      </c>
      <c r="G15" s="456">
        <f t="shared" si="7"/>
        <v>2412</v>
      </c>
      <c r="H15" s="456">
        <f t="shared" si="7"/>
        <v>2543</v>
      </c>
      <c r="I15" s="456">
        <f t="shared" si="7"/>
        <v>2543</v>
      </c>
      <c r="J15" s="456">
        <f t="shared" si="7"/>
        <v>2543</v>
      </c>
      <c r="K15" s="456">
        <f t="shared" si="7"/>
        <v>2543</v>
      </c>
      <c r="L15" s="456">
        <f t="shared" si="7"/>
        <v>2543</v>
      </c>
      <c r="M15" s="456">
        <f t="shared" si="7"/>
        <v>2543</v>
      </c>
      <c r="N15" s="456">
        <f t="shared" si="7"/>
        <v>2543</v>
      </c>
      <c r="O15" s="456">
        <f t="shared" si="7"/>
        <v>2543</v>
      </c>
      <c r="P15" s="456">
        <f t="shared" si="7"/>
        <v>2543</v>
      </c>
      <c r="Q15" s="456">
        <f t="shared" si="7"/>
        <v>2543</v>
      </c>
      <c r="R15" s="456">
        <f t="shared" si="7"/>
        <v>3543</v>
      </c>
      <c r="S15" s="456">
        <f t="shared" si="7"/>
        <v>3543</v>
      </c>
      <c r="T15" s="456">
        <f t="shared" si="7"/>
        <v>3543</v>
      </c>
      <c r="U15" s="456">
        <f t="shared" si="7"/>
        <v>3543</v>
      </c>
      <c r="V15" s="456">
        <f t="shared" si="7"/>
        <v>3543</v>
      </c>
    </row>
    <row r="16" spans="1:22" outlineLevel="1" x14ac:dyDescent="0.15">
      <c r="A16" s="438" t="s">
        <v>1068</v>
      </c>
      <c r="B16" s="461">
        <v>0</v>
      </c>
      <c r="C16" s="460">
        <f t="shared" ref="C16:L16" si="8">-$B$30*$B$51</f>
        <v>-467.5</v>
      </c>
      <c r="D16" s="460">
        <f t="shared" si="8"/>
        <v>-467.5</v>
      </c>
      <c r="E16" s="460">
        <f t="shared" si="8"/>
        <v>-467.5</v>
      </c>
      <c r="F16" s="460">
        <f t="shared" si="8"/>
        <v>-467.5</v>
      </c>
      <c r="G16" s="460">
        <f t="shared" si="8"/>
        <v>-467.5</v>
      </c>
      <c r="H16" s="460">
        <f t="shared" si="8"/>
        <v>-467.5</v>
      </c>
      <c r="I16" s="460">
        <f t="shared" si="8"/>
        <v>-467.5</v>
      </c>
      <c r="J16" s="460">
        <f t="shared" si="8"/>
        <v>-467.5</v>
      </c>
      <c r="K16" s="460">
        <f t="shared" si="8"/>
        <v>-467.5</v>
      </c>
      <c r="L16" s="460">
        <f t="shared" si="8"/>
        <v>-467.5</v>
      </c>
      <c r="M16" s="460">
        <v>0</v>
      </c>
      <c r="N16" s="460">
        <v>0</v>
      </c>
      <c r="O16" s="460">
        <v>0</v>
      </c>
      <c r="P16" s="460">
        <v>0</v>
      </c>
      <c r="Q16" s="460">
        <v>0</v>
      </c>
      <c r="R16" s="460">
        <v>0</v>
      </c>
      <c r="S16" s="460">
        <v>0</v>
      </c>
      <c r="T16" s="460">
        <v>0</v>
      </c>
      <c r="U16" s="460">
        <v>0</v>
      </c>
      <c r="V16" s="460">
        <v>0</v>
      </c>
    </row>
    <row r="17" spans="1:256" outlineLevel="1" x14ac:dyDescent="0.15">
      <c r="A17" s="438" t="s">
        <v>1419</v>
      </c>
      <c r="B17" s="461">
        <v>0</v>
      </c>
      <c r="C17" s="460">
        <f>+IF((C15+C16)&lt;0,0,(C15+C16)*$B$20)</f>
        <v>0</v>
      </c>
      <c r="D17" s="460">
        <f t="shared" ref="D17:V17" si="9">+IF((D15+D16)&lt;0,0,-(D15+D16)*$B$20)</f>
        <v>-361.02499999999998</v>
      </c>
      <c r="E17" s="460">
        <f t="shared" si="9"/>
        <v>-586.77499999999998</v>
      </c>
      <c r="F17" s="460">
        <f t="shared" si="9"/>
        <v>-632.97499999999991</v>
      </c>
      <c r="G17" s="460">
        <f t="shared" si="9"/>
        <v>-680.57499999999993</v>
      </c>
      <c r="H17" s="460">
        <f t="shared" si="9"/>
        <v>-726.42499999999995</v>
      </c>
      <c r="I17" s="460">
        <f t="shared" si="9"/>
        <v>-726.42499999999995</v>
      </c>
      <c r="J17" s="460">
        <f t="shared" si="9"/>
        <v>-726.42499999999995</v>
      </c>
      <c r="K17" s="460">
        <f t="shared" si="9"/>
        <v>-726.42499999999995</v>
      </c>
      <c r="L17" s="460">
        <f t="shared" si="9"/>
        <v>-726.42499999999995</v>
      </c>
      <c r="M17" s="460">
        <f t="shared" si="9"/>
        <v>-890.05</v>
      </c>
      <c r="N17" s="460">
        <f t="shared" si="9"/>
        <v>-890.05</v>
      </c>
      <c r="O17" s="460">
        <f t="shared" si="9"/>
        <v>-890.05</v>
      </c>
      <c r="P17" s="460">
        <f t="shared" si="9"/>
        <v>-890.05</v>
      </c>
      <c r="Q17" s="460">
        <f t="shared" si="9"/>
        <v>-890.05</v>
      </c>
      <c r="R17" s="460">
        <f t="shared" si="9"/>
        <v>-1240.05</v>
      </c>
      <c r="S17" s="460">
        <f t="shared" si="9"/>
        <v>-1240.05</v>
      </c>
      <c r="T17" s="460">
        <f t="shared" si="9"/>
        <v>-1240.05</v>
      </c>
      <c r="U17" s="460">
        <f t="shared" si="9"/>
        <v>-1240.05</v>
      </c>
      <c r="V17" s="460">
        <f t="shared" si="9"/>
        <v>-1240.05</v>
      </c>
    </row>
    <row r="18" spans="1:256" outlineLevel="1" x14ac:dyDescent="0.15">
      <c r="A18" s="459" t="s">
        <v>251</v>
      </c>
      <c r="B18" s="457">
        <v>0</v>
      </c>
      <c r="C18" s="456">
        <f t="shared" ref="C18:V18" si="10">+SUM(C15:C17)</f>
        <v>-401.5</v>
      </c>
      <c r="D18" s="456">
        <f t="shared" si="10"/>
        <v>670.47500000000002</v>
      </c>
      <c r="E18" s="456">
        <f t="shared" si="10"/>
        <v>1089.7249999999999</v>
      </c>
      <c r="F18" s="456">
        <f t="shared" si="10"/>
        <v>1175.5250000000001</v>
      </c>
      <c r="G18" s="456">
        <f t="shared" si="10"/>
        <v>1263.9250000000002</v>
      </c>
      <c r="H18" s="456">
        <f t="shared" si="10"/>
        <v>1349.075</v>
      </c>
      <c r="I18" s="456">
        <f t="shared" si="10"/>
        <v>1349.075</v>
      </c>
      <c r="J18" s="456">
        <f t="shared" si="10"/>
        <v>1349.075</v>
      </c>
      <c r="K18" s="456">
        <f t="shared" si="10"/>
        <v>1349.075</v>
      </c>
      <c r="L18" s="456">
        <f t="shared" si="10"/>
        <v>1349.075</v>
      </c>
      <c r="M18" s="456">
        <f t="shared" si="10"/>
        <v>1652.95</v>
      </c>
      <c r="N18" s="456">
        <f t="shared" si="10"/>
        <v>1652.95</v>
      </c>
      <c r="O18" s="456">
        <f t="shared" si="10"/>
        <v>1652.95</v>
      </c>
      <c r="P18" s="456">
        <f t="shared" si="10"/>
        <v>1652.95</v>
      </c>
      <c r="Q18" s="456">
        <f t="shared" si="10"/>
        <v>1652.95</v>
      </c>
      <c r="R18" s="456">
        <f t="shared" si="10"/>
        <v>2302.9499999999998</v>
      </c>
      <c r="S18" s="456">
        <f t="shared" si="10"/>
        <v>2302.9499999999998</v>
      </c>
      <c r="T18" s="456">
        <f t="shared" si="10"/>
        <v>2302.9499999999998</v>
      </c>
      <c r="U18" s="456">
        <f t="shared" si="10"/>
        <v>2302.9499999999998</v>
      </c>
      <c r="V18" s="456">
        <f t="shared" si="10"/>
        <v>2302.9499999999998</v>
      </c>
    </row>
    <row r="20" spans="1:256" x14ac:dyDescent="0.15">
      <c r="A20" s="465" t="s">
        <v>1420</v>
      </c>
      <c r="B20" s="451">
        <v>0.35</v>
      </c>
    </row>
    <row r="24" spans="1:256" x14ac:dyDescent="0.15">
      <c r="A24" s="438" t="s">
        <v>1422</v>
      </c>
      <c r="B24" s="464" t="str">
        <f t="shared" ref="B24:V24" si="11">B6</f>
        <v>N</v>
      </c>
      <c r="C24" s="464" t="str">
        <f t="shared" si="11"/>
        <v>N+1</v>
      </c>
      <c r="D24" s="464" t="str">
        <f t="shared" si="11"/>
        <v>N+2</v>
      </c>
      <c r="E24" s="464" t="str">
        <f t="shared" si="11"/>
        <v>N+3</v>
      </c>
      <c r="F24" s="464" t="str">
        <f t="shared" si="11"/>
        <v>N+4</v>
      </c>
      <c r="G24" s="464" t="str">
        <f t="shared" si="11"/>
        <v>N+5</v>
      </c>
      <c r="H24" s="464" t="str">
        <f t="shared" si="11"/>
        <v>N+6</v>
      </c>
      <c r="I24" s="464" t="str">
        <f t="shared" si="11"/>
        <v>N+7</v>
      </c>
      <c r="J24" s="464" t="str">
        <f t="shared" si="11"/>
        <v>N+8</v>
      </c>
      <c r="K24" s="464" t="str">
        <f t="shared" si="11"/>
        <v>N+9</v>
      </c>
      <c r="L24" s="464" t="str">
        <f t="shared" si="11"/>
        <v>N+10</v>
      </c>
      <c r="M24" s="464" t="str">
        <f t="shared" si="11"/>
        <v>N+11</v>
      </c>
      <c r="N24" s="464" t="str">
        <f t="shared" si="11"/>
        <v>N+12</v>
      </c>
      <c r="O24" s="464" t="str">
        <f t="shared" si="11"/>
        <v>N+13</v>
      </c>
      <c r="P24" s="464" t="str">
        <f t="shared" si="11"/>
        <v>N+14</v>
      </c>
      <c r="Q24" s="464" t="str">
        <f t="shared" si="11"/>
        <v>N+15</v>
      </c>
      <c r="R24" s="464" t="str">
        <f t="shared" si="11"/>
        <v>N+16</v>
      </c>
      <c r="S24" s="464" t="str">
        <f t="shared" si="11"/>
        <v>N+17</v>
      </c>
      <c r="T24" s="464" t="str">
        <f t="shared" si="11"/>
        <v>N+18</v>
      </c>
      <c r="U24" s="464" t="str">
        <f t="shared" si="11"/>
        <v>N+19</v>
      </c>
      <c r="V24" s="464" t="str">
        <f t="shared" si="11"/>
        <v>N+20</v>
      </c>
    </row>
    <row r="26" spans="1:256" x14ac:dyDescent="0.15">
      <c r="A26" s="438" t="s">
        <v>964</v>
      </c>
      <c r="B26" s="463">
        <v>18700</v>
      </c>
      <c r="C26" s="462">
        <f t="shared" ref="C26:V26" si="12">+B26+C14</f>
        <v>17700</v>
      </c>
      <c r="D26" s="462">
        <f t="shared" si="12"/>
        <v>16700</v>
      </c>
      <c r="E26" s="462">
        <f t="shared" si="12"/>
        <v>15700</v>
      </c>
      <c r="F26" s="462">
        <f t="shared" si="12"/>
        <v>14700</v>
      </c>
      <c r="G26" s="462">
        <f t="shared" si="12"/>
        <v>13700</v>
      </c>
      <c r="H26" s="462">
        <f t="shared" si="12"/>
        <v>12700</v>
      </c>
      <c r="I26" s="462">
        <f t="shared" si="12"/>
        <v>11700</v>
      </c>
      <c r="J26" s="462">
        <f t="shared" si="12"/>
        <v>10700</v>
      </c>
      <c r="K26" s="462">
        <f t="shared" si="12"/>
        <v>9700</v>
      </c>
      <c r="L26" s="462">
        <f t="shared" si="12"/>
        <v>8700</v>
      </c>
      <c r="M26" s="462">
        <f t="shared" si="12"/>
        <v>7700</v>
      </c>
      <c r="N26" s="462">
        <f t="shared" si="12"/>
        <v>6700</v>
      </c>
      <c r="O26" s="462">
        <f t="shared" si="12"/>
        <v>5700</v>
      </c>
      <c r="P26" s="462">
        <f t="shared" si="12"/>
        <v>4700</v>
      </c>
      <c r="Q26" s="462">
        <f t="shared" si="12"/>
        <v>3700</v>
      </c>
      <c r="R26" s="462">
        <f t="shared" si="12"/>
        <v>3700</v>
      </c>
      <c r="S26" s="462">
        <f t="shared" si="12"/>
        <v>3700</v>
      </c>
      <c r="T26" s="462">
        <f t="shared" si="12"/>
        <v>3700</v>
      </c>
      <c r="U26" s="462">
        <f t="shared" si="12"/>
        <v>3700</v>
      </c>
      <c r="V26" s="462">
        <f t="shared" si="12"/>
        <v>3700</v>
      </c>
    </row>
    <row r="27" spans="1:256" x14ac:dyDescent="0.15">
      <c r="A27" s="438" t="s">
        <v>413</v>
      </c>
      <c r="B27" s="461">
        <v>0</v>
      </c>
      <c r="C27" s="460">
        <v>0</v>
      </c>
      <c r="D27" s="460">
        <v>0</v>
      </c>
      <c r="E27" s="460">
        <v>0</v>
      </c>
      <c r="F27" s="460">
        <v>0</v>
      </c>
      <c r="G27" s="460">
        <v>0</v>
      </c>
      <c r="H27" s="460">
        <v>0</v>
      </c>
      <c r="I27" s="460">
        <v>0</v>
      </c>
      <c r="J27" s="460">
        <v>0</v>
      </c>
      <c r="K27" s="460">
        <v>0</v>
      </c>
      <c r="L27" s="460">
        <v>0</v>
      </c>
      <c r="M27" s="460">
        <v>0</v>
      </c>
      <c r="N27" s="460">
        <v>0</v>
      </c>
      <c r="O27" s="460">
        <v>0</v>
      </c>
      <c r="P27" s="460">
        <v>0</v>
      </c>
      <c r="Q27" s="460">
        <v>0</v>
      </c>
      <c r="R27" s="460">
        <v>0</v>
      </c>
      <c r="S27" s="460">
        <v>0</v>
      </c>
      <c r="T27" s="460">
        <v>0</v>
      </c>
      <c r="U27" s="460">
        <v>0</v>
      </c>
      <c r="V27" s="460">
        <v>0</v>
      </c>
    </row>
    <row r="28" spans="1:256" x14ac:dyDescent="0.15">
      <c r="A28" s="459" t="s">
        <v>978</v>
      </c>
      <c r="B28" s="457">
        <f t="shared" ref="B28:V28" si="13">+B27+B26</f>
        <v>18700</v>
      </c>
      <c r="C28" s="456">
        <f t="shared" si="13"/>
        <v>17700</v>
      </c>
      <c r="D28" s="456">
        <f t="shared" si="13"/>
        <v>16700</v>
      </c>
      <c r="E28" s="456">
        <f t="shared" si="13"/>
        <v>15700</v>
      </c>
      <c r="F28" s="456">
        <f t="shared" si="13"/>
        <v>14700</v>
      </c>
      <c r="G28" s="456">
        <f t="shared" si="13"/>
        <v>13700</v>
      </c>
      <c r="H28" s="456">
        <f t="shared" si="13"/>
        <v>12700</v>
      </c>
      <c r="I28" s="456">
        <f t="shared" si="13"/>
        <v>11700</v>
      </c>
      <c r="J28" s="456">
        <f t="shared" si="13"/>
        <v>10700</v>
      </c>
      <c r="K28" s="456">
        <f t="shared" si="13"/>
        <v>9700</v>
      </c>
      <c r="L28" s="456">
        <f t="shared" si="13"/>
        <v>8700</v>
      </c>
      <c r="M28" s="456">
        <f t="shared" si="13"/>
        <v>7700</v>
      </c>
      <c r="N28" s="456">
        <f t="shared" si="13"/>
        <v>6700</v>
      </c>
      <c r="O28" s="456">
        <f t="shared" si="13"/>
        <v>5700</v>
      </c>
      <c r="P28" s="456">
        <f t="shared" si="13"/>
        <v>4700</v>
      </c>
      <c r="Q28" s="456">
        <f t="shared" si="13"/>
        <v>3700</v>
      </c>
      <c r="R28" s="456">
        <f t="shared" si="13"/>
        <v>3700</v>
      </c>
      <c r="S28" s="456">
        <f t="shared" si="13"/>
        <v>3700</v>
      </c>
      <c r="T28" s="456">
        <f t="shared" si="13"/>
        <v>3700</v>
      </c>
      <c r="U28" s="456">
        <f t="shared" si="13"/>
        <v>3700</v>
      </c>
      <c r="V28" s="456">
        <f t="shared" si="13"/>
        <v>3700</v>
      </c>
    </row>
    <row r="29" spans="1:256" x14ac:dyDescent="0.15">
      <c r="A29" s="438" t="s">
        <v>300</v>
      </c>
      <c r="B29" s="461">
        <v>0</v>
      </c>
      <c r="C29" s="460">
        <f t="shared" ref="C29:V29" si="14">+B29+C18</f>
        <v>-401.5</v>
      </c>
      <c r="D29" s="460">
        <f t="shared" si="14"/>
        <v>268.97500000000002</v>
      </c>
      <c r="E29" s="460">
        <f t="shared" si="14"/>
        <v>1358.6999999999998</v>
      </c>
      <c r="F29" s="460">
        <f t="shared" si="14"/>
        <v>2534.2249999999999</v>
      </c>
      <c r="G29" s="460">
        <f t="shared" si="14"/>
        <v>3798.15</v>
      </c>
      <c r="H29" s="460">
        <f t="shared" si="14"/>
        <v>5147.2250000000004</v>
      </c>
      <c r="I29" s="460">
        <f t="shared" si="14"/>
        <v>6496.3</v>
      </c>
      <c r="J29" s="460">
        <f t="shared" si="14"/>
        <v>7845.375</v>
      </c>
      <c r="K29" s="460">
        <f t="shared" si="14"/>
        <v>9194.4500000000007</v>
      </c>
      <c r="L29" s="460">
        <f t="shared" si="14"/>
        <v>10543.525000000001</v>
      </c>
      <c r="M29" s="460">
        <f t="shared" si="14"/>
        <v>12196.475000000002</v>
      </c>
      <c r="N29" s="460">
        <f t="shared" si="14"/>
        <v>13849.425000000003</v>
      </c>
      <c r="O29" s="460">
        <f t="shared" si="14"/>
        <v>15502.375000000004</v>
      </c>
      <c r="P29" s="460">
        <f t="shared" si="14"/>
        <v>17155.325000000004</v>
      </c>
      <c r="Q29" s="460">
        <f t="shared" si="14"/>
        <v>18808.275000000005</v>
      </c>
      <c r="R29" s="460">
        <f t="shared" si="14"/>
        <v>21111.225000000006</v>
      </c>
      <c r="S29" s="460">
        <f t="shared" si="14"/>
        <v>23414.175000000007</v>
      </c>
      <c r="T29" s="460">
        <f t="shared" si="14"/>
        <v>25717.125000000007</v>
      </c>
      <c r="U29" s="460">
        <f t="shared" si="14"/>
        <v>28020.075000000008</v>
      </c>
      <c r="V29" s="460">
        <f t="shared" si="14"/>
        <v>30323.025000000009</v>
      </c>
    </row>
    <row r="30" spans="1:256" x14ac:dyDescent="0.15">
      <c r="A30" s="438" t="s">
        <v>1423</v>
      </c>
      <c r="B30" s="461">
        <f>+B26</f>
        <v>18700</v>
      </c>
      <c r="C30" s="460">
        <f t="shared" ref="C30:V30" si="15">+B30+C46</f>
        <v>18101.5</v>
      </c>
      <c r="D30" s="460">
        <f t="shared" si="15"/>
        <v>16431.025000000001</v>
      </c>
      <c r="E30" s="460">
        <f t="shared" si="15"/>
        <v>14341.300000000001</v>
      </c>
      <c r="F30" s="460">
        <f t="shared" si="15"/>
        <v>12165.775000000001</v>
      </c>
      <c r="G30" s="460">
        <f t="shared" si="15"/>
        <v>9901.8500000000022</v>
      </c>
      <c r="H30" s="460">
        <f t="shared" si="15"/>
        <v>7552.7750000000024</v>
      </c>
      <c r="I30" s="460">
        <f t="shared" si="15"/>
        <v>5203.7000000000025</v>
      </c>
      <c r="J30" s="460">
        <f t="shared" si="15"/>
        <v>2854.6250000000027</v>
      </c>
      <c r="K30" s="460">
        <f t="shared" si="15"/>
        <v>505.55000000000291</v>
      </c>
      <c r="L30" s="460">
        <f t="shared" si="15"/>
        <v>-1843.5249999999969</v>
      </c>
      <c r="M30" s="460">
        <f t="shared" si="15"/>
        <v>-4496.4749999999967</v>
      </c>
      <c r="N30" s="460">
        <f t="shared" si="15"/>
        <v>-7149.4249999999965</v>
      </c>
      <c r="O30" s="460">
        <f t="shared" si="15"/>
        <v>-9802.3749999999964</v>
      </c>
      <c r="P30" s="460">
        <f t="shared" si="15"/>
        <v>-12455.324999999997</v>
      </c>
      <c r="Q30" s="460">
        <f t="shared" si="15"/>
        <v>-15108.274999999998</v>
      </c>
      <c r="R30" s="460">
        <f t="shared" si="15"/>
        <v>-17411.224999999999</v>
      </c>
      <c r="S30" s="460">
        <f t="shared" si="15"/>
        <v>-19714.174999999999</v>
      </c>
      <c r="T30" s="460">
        <f t="shared" si="15"/>
        <v>-22017.125</v>
      </c>
      <c r="U30" s="460">
        <f t="shared" si="15"/>
        <v>-24320.075000000001</v>
      </c>
      <c r="V30" s="460">
        <f t="shared" si="15"/>
        <v>-26623.025000000001</v>
      </c>
    </row>
    <row r="31" spans="1:256" x14ac:dyDescent="0.15">
      <c r="A31" s="459" t="s">
        <v>1424</v>
      </c>
      <c r="B31" s="457">
        <f t="shared" ref="B31:V31" si="16">+B30+B29</f>
        <v>18700</v>
      </c>
      <c r="C31" s="456">
        <f t="shared" si="16"/>
        <v>17700</v>
      </c>
      <c r="D31" s="456">
        <f t="shared" si="16"/>
        <v>16700</v>
      </c>
      <c r="E31" s="456">
        <f t="shared" si="16"/>
        <v>15700</v>
      </c>
      <c r="F31" s="456">
        <f t="shared" si="16"/>
        <v>14700.000000000002</v>
      </c>
      <c r="G31" s="456">
        <f t="shared" si="16"/>
        <v>13700.000000000002</v>
      </c>
      <c r="H31" s="456">
        <f t="shared" si="16"/>
        <v>12700.000000000004</v>
      </c>
      <c r="I31" s="456">
        <f t="shared" si="16"/>
        <v>11700.000000000004</v>
      </c>
      <c r="J31" s="456">
        <f t="shared" si="16"/>
        <v>10700.000000000004</v>
      </c>
      <c r="K31" s="456">
        <f t="shared" si="16"/>
        <v>9700.0000000000036</v>
      </c>
      <c r="L31" s="456">
        <f t="shared" si="16"/>
        <v>8700.0000000000036</v>
      </c>
      <c r="M31" s="456">
        <f t="shared" si="16"/>
        <v>7700.0000000000055</v>
      </c>
      <c r="N31" s="456">
        <f t="shared" si="16"/>
        <v>6700.0000000000064</v>
      </c>
      <c r="O31" s="456">
        <f t="shared" si="16"/>
        <v>5700.0000000000073</v>
      </c>
      <c r="P31" s="456">
        <f t="shared" si="16"/>
        <v>4700.0000000000073</v>
      </c>
      <c r="Q31" s="456">
        <f t="shared" si="16"/>
        <v>3700.0000000000073</v>
      </c>
      <c r="R31" s="456">
        <f t="shared" si="16"/>
        <v>3700.0000000000073</v>
      </c>
      <c r="S31" s="456">
        <f t="shared" si="16"/>
        <v>3700.0000000000073</v>
      </c>
      <c r="T31" s="456">
        <f t="shared" si="16"/>
        <v>3700.0000000000073</v>
      </c>
      <c r="U31" s="456">
        <f t="shared" si="16"/>
        <v>3700.0000000000073</v>
      </c>
      <c r="V31" s="456">
        <f t="shared" si="16"/>
        <v>3700.0000000000073</v>
      </c>
      <c r="IV31" s="438">
        <f>+IV30+IV29</f>
        <v>0</v>
      </c>
    </row>
    <row r="37" spans="1:22" x14ac:dyDescent="0.15">
      <c r="A37" s="438" t="s">
        <v>1425</v>
      </c>
      <c r="B37" s="464" t="str">
        <f t="shared" ref="B37:V37" si="17">B6</f>
        <v>N</v>
      </c>
      <c r="C37" s="464" t="str">
        <f t="shared" si="17"/>
        <v>N+1</v>
      </c>
      <c r="D37" s="464" t="str">
        <f t="shared" si="17"/>
        <v>N+2</v>
      </c>
      <c r="E37" s="464" t="str">
        <f t="shared" si="17"/>
        <v>N+3</v>
      </c>
      <c r="F37" s="464" t="str">
        <f t="shared" si="17"/>
        <v>N+4</v>
      </c>
      <c r="G37" s="464" t="str">
        <f t="shared" si="17"/>
        <v>N+5</v>
      </c>
      <c r="H37" s="464" t="str">
        <f t="shared" si="17"/>
        <v>N+6</v>
      </c>
      <c r="I37" s="464" t="str">
        <f t="shared" si="17"/>
        <v>N+7</v>
      </c>
      <c r="J37" s="464" t="str">
        <f t="shared" si="17"/>
        <v>N+8</v>
      </c>
      <c r="K37" s="464" t="str">
        <f t="shared" si="17"/>
        <v>N+9</v>
      </c>
      <c r="L37" s="464" t="str">
        <f t="shared" si="17"/>
        <v>N+10</v>
      </c>
      <c r="M37" s="464" t="str">
        <f t="shared" si="17"/>
        <v>N+11</v>
      </c>
      <c r="N37" s="464" t="str">
        <f t="shared" si="17"/>
        <v>N+12</v>
      </c>
      <c r="O37" s="464" t="str">
        <f t="shared" si="17"/>
        <v>N+13</v>
      </c>
      <c r="P37" s="464" t="str">
        <f t="shared" si="17"/>
        <v>N+14</v>
      </c>
      <c r="Q37" s="464" t="str">
        <f t="shared" si="17"/>
        <v>N+15</v>
      </c>
      <c r="R37" s="464" t="str">
        <f t="shared" si="17"/>
        <v>N+16</v>
      </c>
      <c r="S37" s="464" t="str">
        <f t="shared" si="17"/>
        <v>N+17</v>
      </c>
      <c r="T37" s="464" t="str">
        <f t="shared" si="17"/>
        <v>N+18</v>
      </c>
      <c r="U37" s="464" t="str">
        <f t="shared" si="17"/>
        <v>N+19</v>
      </c>
      <c r="V37" s="464" t="str">
        <f t="shared" si="17"/>
        <v>N+20</v>
      </c>
    </row>
    <row r="39" spans="1:22" x14ac:dyDescent="0.15">
      <c r="A39" s="438" t="s">
        <v>251</v>
      </c>
      <c r="B39" s="463">
        <v>0</v>
      </c>
      <c r="C39" s="462">
        <f t="shared" ref="C39:V39" si="18">+C18</f>
        <v>-401.5</v>
      </c>
      <c r="D39" s="462">
        <f t="shared" si="18"/>
        <v>670.47500000000002</v>
      </c>
      <c r="E39" s="462">
        <f t="shared" si="18"/>
        <v>1089.7249999999999</v>
      </c>
      <c r="F39" s="462">
        <f t="shared" si="18"/>
        <v>1175.5250000000001</v>
      </c>
      <c r="G39" s="462">
        <f t="shared" si="18"/>
        <v>1263.9250000000002</v>
      </c>
      <c r="H39" s="462">
        <f t="shared" si="18"/>
        <v>1349.075</v>
      </c>
      <c r="I39" s="462">
        <f t="shared" si="18"/>
        <v>1349.075</v>
      </c>
      <c r="J39" s="462">
        <f t="shared" si="18"/>
        <v>1349.075</v>
      </c>
      <c r="K39" s="462">
        <f t="shared" si="18"/>
        <v>1349.075</v>
      </c>
      <c r="L39" s="462">
        <f t="shared" si="18"/>
        <v>1349.075</v>
      </c>
      <c r="M39" s="462">
        <f t="shared" si="18"/>
        <v>1652.95</v>
      </c>
      <c r="N39" s="462">
        <f t="shared" si="18"/>
        <v>1652.95</v>
      </c>
      <c r="O39" s="462">
        <f t="shared" si="18"/>
        <v>1652.95</v>
      </c>
      <c r="P39" s="462">
        <f t="shared" si="18"/>
        <v>1652.95</v>
      </c>
      <c r="Q39" s="462">
        <f t="shared" si="18"/>
        <v>1652.95</v>
      </c>
      <c r="R39" s="462">
        <f t="shared" si="18"/>
        <v>2302.9499999999998</v>
      </c>
      <c r="S39" s="462">
        <f t="shared" si="18"/>
        <v>2302.9499999999998</v>
      </c>
      <c r="T39" s="462">
        <f t="shared" si="18"/>
        <v>2302.9499999999998</v>
      </c>
      <c r="U39" s="462">
        <f t="shared" si="18"/>
        <v>2302.9499999999998</v>
      </c>
      <c r="V39" s="462">
        <f t="shared" si="18"/>
        <v>2302.9499999999998</v>
      </c>
    </row>
    <row r="40" spans="1:22" x14ac:dyDescent="0.15">
      <c r="A40" s="438" t="s">
        <v>178</v>
      </c>
      <c r="B40" s="461">
        <v>0</v>
      </c>
      <c r="C40" s="460">
        <f t="shared" ref="C40:V40" si="19">-C14</f>
        <v>1000</v>
      </c>
      <c r="D40" s="460">
        <f t="shared" si="19"/>
        <v>1000</v>
      </c>
      <c r="E40" s="460">
        <f t="shared" si="19"/>
        <v>1000</v>
      </c>
      <c r="F40" s="460">
        <f t="shared" si="19"/>
        <v>1000</v>
      </c>
      <c r="G40" s="460">
        <f t="shared" si="19"/>
        <v>1000</v>
      </c>
      <c r="H40" s="460">
        <f t="shared" si="19"/>
        <v>1000</v>
      </c>
      <c r="I40" s="460">
        <f t="shared" si="19"/>
        <v>1000</v>
      </c>
      <c r="J40" s="460">
        <f t="shared" si="19"/>
        <v>1000</v>
      </c>
      <c r="K40" s="460">
        <f t="shared" si="19"/>
        <v>1000</v>
      </c>
      <c r="L40" s="460">
        <f t="shared" si="19"/>
        <v>1000</v>
      </c>
      <c r="M40" s="460">
        <f t="shared" si="19"/>
        <v>1000</v>
      </c>
      <c r="N40" s="460">
        <f t="shared" si="19"/>
        <v>1000</v>
      </c>
      <c r="O40" s="460">
        <f t="shared" si="19"/>
        <v>1000</v>
      </c>
      <c r="P40" s="460">
        <f t="shared" si="19"/>
        <v>1000</v>
      </c>
      <c r="Q40" s="460">
        <f t="shared" si="19"/>
        <v>1000</v>
      </c>
      <c r="R40" s="460">
        <f t="shared" si="19"/>
        <v>0</v>
      </c>
      <c r="S40" s="460">
        <f t="shared" si="19"/>
        <v>0</v>
      </c>
      <c r="T40" s="460">
        <f t="shared" si="19"/>
        <v>0</v>
      </c>
      <c r="U40" s="460">
        <f t="shared" si="19"/>
        <v>0</v>
      </c>
      <c r="V40" s="460">
        <f t="shared" si="19"/>
        <v>0</v>
      </c>
    </row>
    <row r="41" spans="1:22" x14ac:dyDescent="0.15">
      <c r="A41" s="459" t="s">
        <v>1426</v>
      </c>
      <c r="B41" s="457">
        <v>0</v>
      </c>
      <c r="C41" s="456">
        <f t="shared" ref="C41:V41" si="20">+C40+C39</f>
        <v>598.5</v>
      </c>
      <c r="D41" s="456">
        <f t="shared" si="20"/>
        <v>1670.4749999999999</v>
      </c>
      <c r="E41" s="456">
        <f t="shared" si="20"/>
        <v>2089.7249999999999</v>
      </c>
      <c r="F41" s="456">
        <f t="shared" si="20"/>
        <v>2175.5250000000001</v>
      </c>
      <c r="G41" s="456">
        <f t="shared" si="20"/>
        <v>2263.9250000000002</v>
      </c>
      <c r="H41" s="456">
        <f t="shared" si="20"/>
        <v>2349.0749999999998</v>
      </c>
      <c r="I41" s="456">
        <f t="shared" si="20"/>
        <v>2349.0749999999998</v>
      </c>
      <c r="J41" s="456">
        <f t="shared" si="20"/>
        <v>2349.0749999999998</v>
      </c>
      <c r="K41" s="456">
        <f t="shared" si="20"/>
        <v>2349.0749999999998</v>
      </c>
      <c r="L41" s="456">
        <f t="shared" si="20"/>
        <v>2349.0749999999998</v>
      </c>
      <c r="M41" s="456">
        <f t="shared" si="20"/>
        <v>2652.95</v>
      </c>
      <c r="N41" s="456">
        <f t="shared" si="20"/>
        <v>2652.95</v>
      </c>
      <c r="O41" s="456">
        <f t="shared" si="20"/>
        <v>2652.95</v>
      </c>
      <c r="P41" s="456">
        <f t="shared" si="20"/>
        <v>2652.95</v>
      </c>
      <c r="Q41" s="456">
        <f t="shared" si="20"/>
        <v>2652.95</v>
      </c>
      <c r="R41" s="456">
        <f t="shared" si="20"/>
        <v>2302.9499999999998</v>
      </c>
      <c r="S41" s="456">
        <f t="shared" si="20"/>
        <v>2302.9499999999998</v>
      </c>
      <c r="T41" s="456">
        <f t="shared" si="20"/>
        <v>2302.9499999999998</v>
      </c>
      <c r="U41" s="456">
        <f t="shared" si="20"/>
        <v>2302.9499999999998</v>
      </c>
      <c r="V41" s="456">
        <f t="shared" si="20"/>
        <v>2302.9499999999998</v>
      </c>
    </row>
    <row r="42" spans="1:22" x14ac:dyDescent="0.15">
      <c r="A42" s="438" t="s">
        <v>967</v>
      </c>
      <c r="B42" s="461">
        <v>0</v>
      </c>
      <c r="C42" s="460">
        <f t="shared" ref="C42:V42" si="21">+B27-C27</f>
        <v>0</v>
      </c>
      <c r="D42" s="460">
        <f t="shared" si="21"/>
        <v>0</v>
      </c>
      <c r="E42" s="460">
        <f t="shared" si="21"/>
        <v>0</v>
      </c>
      <c r="F42" s="460">
        <f t="shared" si="21"/>
        <v>0</v>
      </c>
      <c r="G42" s="460">
        <f t="shared" si="21"/>
        <v>0</v>
      </c>
      <c r="H42" s="460">
        <f t="shared" si="21"/>
        <v>0</v>
      </c>
      <c r="I42" s="460">
        <f t="shared" si="21"/>
        <v>0</v>
      </c>
      <c r="J42" s="460">
        <f t="shared" si="21"/>
        <v>0</v>
      </c>
      <c r="K42" s="460">
        <f t="shared" si="21"/>
        <v>0</v>
      </c>
      <c r="L42" s="460">
        <f t="shared" si="21"/>
        <v>0</v>
      </c>
      <c r="M42" s="460">
        <f t="shared" si="21"/>
        <v>0</v>
      </c>
      <c r="N42" s="460">
        <f t="shared" si="21"/>
        <v>0</v>
      </c>
      <c r="O42" s="460">
        <f t="shared" si="21"/>
        <v>0</v>
      </c>
      <c r="P42" s="460">
        <f t="shared" si="21"/>
        <v>0</v>
      </c>
      <c r="Q42" s="460">
        <f t="shared" si="21"/>
        <v>0</v>
      </c>
      <c r="R42" s="460">
        <f t="shared" si="21"/>
        <v>0</v>
      </c>
      <c r="S42" s="460">
        <f t="shared" si="21"/>
        <v>0</v>
      </c>
      <c r="T42" s="460">
        <f t="shared" si="21"/>
        <v>0</v>
      </c>
      <c r="U42" s="460">
        <f t="shared" si="21"/>
        <v>0</v>
      </c>
      <c r="V42" s="460">
        <f t="shared" si="21"/>
        <v>0</v>
      </c>
    </row>
    <row r="43" spans="1:22" x14ac:dyDescent="0.15">
      <c r="A43" s="459" t="s">
        <v>1427</v>
      </c>
      <c r="B43" s="457">
        <v>0</v>
      </c>
      <c r="C43" s="456">
        <f t="shared" ref="C43:V43" si="22">+SUM(C41:C42)</f>
        <v>598.5</v>
      </c>
      <c r="D43" s="456">
        <f t="shared" si="22"/>
        <v>1670.4749999999999</v>
      </c>
      <c r="E43" s="456">
        <f t="shared" si="22"/>
        <v>2089.7249999999999</v>
      </c>
      <c r="F43" s="456">
        <f t="shared" si="22"/>
        <v>2175.5250000000001</v>
      </c>
      <c r="G43" s="456">
        <f t="shared" si="22"/>
        <v>2263.9250000000002</v>
      </c>
      <c r="H43" s="456">
        <f t="shared" si="22"/>
        <v>2349.0749999999998</v>
      </c>
      <c r="I43" s="456">
        <f t="shared" si="22"/>
        <v>2349.0749999999998</v>
      </c>
      <c r="J43" s="456">
        <f t="shared" si="22"/>
        <v>2349.0749999999998</v>
      </c>
      <c r="K43" s="456">
        <f t="shared" si="22"/>
        <v>2349.0749999999998</v>
      </c>
      <c r="L43" s="456">
        <f t="shared" si="22"/>
        <v>2349.0749999999998</v>
      </c>
      <c r="M43" s="456">
        <f t="shared" si="22"/>
        <v>2652.95</v>
      </c>
      <c r="N43" s="456">
        <f t="shared" si="22"/>
        <v>2652.95</v>
      </c>
      <c r="O43" s="456">
        <f t="shared" si="22"/>
        <v>2652.95</v>
      </c>
      <c r="P43" s="456">
        <f t="shared" si="22"/>
        <v>2652.95</v>
      </c>
      <c r="Q43" s="456">
        <f t="shared" si="22"/>
        <v>2652.95</v>
      </c>
      <c r="R43" s="456">
        <f t="shared" si="22"/>
        <v>2302.9499999999998</v>
      </c>
      <c r="S43" s="456">
        <f t="shared" si="22"/>
        <v>2302.9499999999998</v>
      </c>
      <c r="T43" s="456">
        <f t="shared" si="22"/>
        <v>2302.9499999999998</v>
      </c>
      <c r="U43" s="456">
        <f t="shared" si="22"/>
        <v>2302.9499999999998</v>
      </c>
      <c r="V43" s="456">
        <f t="shared" si="22"/>
        <v>2302.9499999999998</v>
      </c>
    </row>
    <row r="44" spans="1:22" x14ac:dyDescent="0.15">
      <c r="A44" s="438" t="s">
        <v>28</v>
      </c>
      <c r="B44" s="461">
        <f>-B26</f>
        <v>-18700</v>
      </c>
      <c r="C44" s="460">
        <v>0</v>
      </c>
      <c r="D44" s="460">
        <v>0</v>
      </c>
      <c r="E44" s="460">
        <v>0</v>
      </c>
      <c r="F44" s="460">
        <v>0</v>
      </c>
      <c r="G44" s="460">
        <v>0</v>
      </c>
      <c r="H44" s="460">
        <v>0</v>
      </c>
      <c r="I44" s="460">
        <v>0</v>
      </c>
      <c r="J44" s="460">
        <v>0</v>
      </c>
      <c r="K44" s="460">
        <v>0</v>
      </c>
      <c r="L44" s="460">
        <v>0</v>
      </c>
      <c r="M44" s="460">
        <v>0</v>
      </c>
      <c r="N44" s="460">
        <v>0</v>
      </c>
      <c r="O44" s="460">
        <v>0</v>
      </c>
      <c r="P44" s="460">
        <v>0</v>
      </c>
      <c r="Q44" s="460">
        <v>0</v>
      </c>
      <c r="R44" s="460">
        <v>0</v>
      </c>
      <c r="S44" s="460">
        <v>0</v>
      </c>
      <c r="T44" s="460">
        <v>0</v>
      </c>
      <c r="U44" s="460">
        <v>0</v>
      </c>
      <c r="V44" s="460">
        <v>0</v>
      </c>
    </row>
    <row r="45" spans="1:22" x14ac:dyDescent="0.15">
      <c r="A45" s="459" t="s">
        <v>1429</v>
      </c>
      <c r="B45" s="457">
        <f t="shared" ref="B45:V45" si="23">+B43+B44</f>
        <v>-18700</v>
      </c>
      <c r="C45" s="456">
        <f t="shared" si="23"/>
        <v>598.5</v>
      </c>
      <c r="D45" s="456">
        <f t="shared" si="23"/>
        <v>1670.4749999999999</v>
      </c>
      <c r="E45" s="456">
        <f t="shared" si="23"/>
        <v>2089.7249999999999</v>
      </c>
      <c r="F45" s="456">
        <f t="shared" si="23"/>
        <v>2175.5250000000001</v>
      </c>
      <c r="G45" s="456">
        <f t="shared" si="23"/>
        <v>2263.9250000000002</v>
      </c>
      <c r="H45" s="456">
        <f t="shared" si="23"/>
        <v>2349.0749999999998</v>
      </c>
      <c r="I45" s="456">
        <f t="shared" si="23"/>
        <v>2349.0749999999998</v>
      </c>
      <c r="J45" s="456">
        <f t="shared" si="23"/>
        <v>2349.0749999999998</v>
      </c>
      <c r="K45" s="456">
        <f t="shared" si="23"/>
        <v>2349.0749999999998</v>
      </c>
      <c r="L45" s="456">
        <f t="shared" si="23"/>
        <v>2349.0749999999998</v>
      </c>
      <c r="M45" s="456">
        <f t="shared" si="23"/>
        <v>2652.95</v>
      </c>
      <c r="N45" s="456">
        <f t="shared" si="23"/>
        <v>2652.95</v>
      </c>
      <c r="O45" s="456">
        <f t="shared" si="23"/>
        <v>2652.95</v>
      </c>
      <c r="P45" s="456">
        <f t="shared" si="23"/>
        <v>2652.95</v>
      </c>
      <c r="Q45" s="456">
        <f t="shared" si="23"/>
        <v>2652.95</v>
      </c>
      <c r="R45" s="456">
        <f t="shared" si="23"/>
        <v>2302.9499999999998</v>
      </c>
      <c r="S45" s="456">
        <f t="shared" si="23"/>
        <v>2302.9499999999998</v>
      </c>
      <c r="T45" s="456">
        <f t="shared" si="23"/>
        <v>2302.9499999999998</v>
      </c>
      <c r="U45" s="456">
        <f t="shared" si="23"/>
        <v>2302.9499999999998</v>
      </c>
      <c r="V45" s="456">
        <f t="shared" si="23"/>
        <v>2302.9499999999998</v>
      </c>
    </row>
    <row r="46" spans="1:22" ht="14" x14ac:dyDescent="0.15">
      <c r="A46" s="458" t="s">
        <v>1430</v>
      </c>
      <c r="B46" s="457">
        <f t="shared" ref="B46:V46" si="24">-B45</f>
        <v>18700</v>
      </c>
      <c r="C46" s="456">
        <f t="shared" si="24"/>
        <v>-598.5</v>
      </c>
      <c r="D46" s="456">
        <f t="shared" si="24"/>
        <v>-1670.4749999999999</v>
      </c>
      <c r="E46" s="456">
        <f t="shared" si="24"/>
        <v>-2089.7249999999999</v>
      </c>
      <c r="F46" s="456">
        <f t="shared" si="24"/>
        <v>-2175.5250000000001</v>
      </c>
      <c r="G46" s="456">
        <f t="shared" si="24"/>
        <v>-2263.9250000000002</v>
      </c>
      <c r="H46" s="456">
        <f t="shared" si="24"/>
        <v>-2349.0749999999998</v>
      </c>
      <c r="I46" s="456">
        <f t="shared" si="24"/>
        <v>-2349.0749999999998</v>
      </c>
      <c r="J46" s="456">
        <f t="shared" si="24"/>
        <v>-2349.0749999999998</v>
      </c>
      <c r="K46" s="456">
        <f t="shared" si="24"/>
        <v>-2349.0749999999998</v>
      </c>
      <c r="L46" s="456">
        <f t="shared" si="24"/>
        <v>-2349.0749999999998</v>
      </c>
      <c r="M46" s="456">
        <f t="shared" si="24"/>
        <v>-2652.95</v>
      </c>
      <c r="N46" s="456">
        <f t="shared" si="24"/>
        <v>-2652.95</v>
      </c>
      <c r="O46" s="456">
        <f t="shared" si="24"/>
        <v>-2652.95</v>
      </c>
      <c r="P46" s="456">
        <f t="shared" si="24"/>
        <v>-2652.95</v>
      </c>
      <c r="Q46" s="456">
        <f t="shared" si="24"/>
        <v>-2652.95</v>
      </c>
      <c r="R46" s="456">
        <f t="shared" si="24"/>
        <v>-2302.9499999999998</v>
      </c>
      <c r="S46" s="456">
        <f t="shared" si="24"/>
        <v>-2302.9499999999998</v>
      </c>
      <c r="T46" s="456">
        <f t="shared" si="24"/>
        <v>-2302.9499999999998</v>
      </c>
      <c r="U46" s="456">
        <f t="shared" si="24"/>
        <v>-2302.9499999999998</v>
      </c>
      <c r="V46" s="456">
        <f t="shared" si="24"/>
        <v>-2302.9499999999998</v>
      </c>
    </row>
    <row r="48" spans="1:22" ht="5.25" customHeight="1" x14ac:dyDescent="0.15">
      <c r="D48" s="455"/>
    </row>
    <row r="49" spans="1:22" ht="5.25" customHeight="1" x14ac:dyDescent="0.15"/>
    <row r="50" spans="1:22" x14ac:dyDescent="0.15">
      <c r="A50" s="438" t="s">
        <v>1431</v>
      </c>
      <c r="D50" s="455"/>
    </row>
    <row r="51" spans="1:22" x14ac:dyDescent="0.15">
      <c r="A51" s="438" t="s">
        <v>1432</v>
      </c>
      <c r="B51" s="443">
        <v>2.5000000000000001E-2</v>
      </c>
    </row>
    <row r="52" spans="1:22" x14ac:dyDescent="0.15">
      <c r="D52" s="455"/>
    </row>
    <row r="54" spans="1:22" x14ac:dyDescent="0.15">
      <c r="A54" s="438" t="s">
        <v>1428</v>
      </c>
      <c r="D54" s="455"/>
    </row>
    <row r="57" spans="1:22" x14ac:dyDescent="0.15">
      <c r="A57" s="438" t="s">
        <v>48</v>
      </c>
      <c r="B57" s="452">
        <f t="shared" ref="B57:U57" si="25">B15*(1-$B$20)+B44+B40+B42</f>
        <v>-18700</v>
      </c>
      <c r="C57" s="452">
        <f t="shared" si="25"/>
        <v>1042.9000000000001</v>
      </c>
      <c r="D57" s="452">
        <f t="shared" si="25"/>
        <v>1974.35</v>
      </c>
      <c r="E57" s="452">
        <f t="shared" si="25"/>
        <v>2393.6000000000004</v>
      </c>
      <c r="F57" s="452">
        <f t="shared" si="25"/>
        <v>2479.4</v>
      </c>
      <c r="G57" s="452">
        <f t="shared" si="25"/>
        <v>2567.8000000000002</v>
      </c>
      <c r="H57" s="452">
        <f t="shared" si="25"/>
        <v>2652.95</v>
      </c>
      <c r="I57" s="452">
        <f t="shared" si="25"/>
        <v>2652.95</v>
      </c>
      <c r="J57" s="452">
        <f t="shared" si="25"/>
        <v>2652.95</v>
      </c>
      <c r="K57" s="452">
        <f t="shared" si="25"/>
        <v>2652.95</v>
      </c>
      <c r="L57" s="452">
        <f t="shared" si="25"/>
        <v>2652.95</v>
      </c>
      <c r="M57" s="452">
        <f t="shared" si="25"/>
        <v>2652.95</v>
      </c>
      <c r="N57" s="452">
        <f t="shared" si="25"/>
        <v>2652.95</v>
      </c>
      <c r="O57" s="452">
        <f t="shared" si="25"/>
        <v>2652.95</v>
      </c>
      <c r="P57" s="452">
        <f t="shared" si="25"/>
        <v>2652.95</v>
      </c>
      <c r="Q57" s="452">
        <f t="shared" si="25"/>
        <v>2652.95</v>
      </c>
      <c r="R57" s="452">
        <f t="shared" si="25"/>
        <v>2302.9500000000003</v>
      </c>
      <c r="S57" s="452">
        <f t="shared" si="25"/>
        <v>2302.9500000000003</v>
      </c>
      <c r="T57" s="452">
        <f t="shared" si="25"/>
        <v>2302.9500000000003</v>
      </c>
      <c r="U57" s="452">
        <f t="shared" si="25"/>
        <v>2302.9500000000003</v>
      </c>
      <c r="V57" s="452">
        <f>V15*(1-$B$20)+V44+V40+V42+V26</f>
        <v>6002.9500000000007</v>
      </c>
    </row>
    <row r="58" spans="1:22" x14ac:dyDescent="0.15">
      <c r="A58" s="438" t="s">
        <v>835</v>
      </c>
      <c r="B58" s="453">
        <v>7.0000000000000007E-2</v>
      </c>
      <c r="D58" s="455"/>
    </row>
    <row r="59" spans="1:22" x14ac:dyDescent="0.15">
      <c r="A59" s="438" t="s">
        <v>1075</v>
      </c>
      <c r="B59" s="452">
        <f>NPV(B58,B57:V57)</f>
        <v>6859.0206356364461</v>
      </c>
    </row>
    <row r="60" spans="1:22" x14ac:dyDescent="0.15">
      <c r="B60" s="453"/>
      <c r="D60" s="455"/>
    </row>
    <row r="63" spans="1:22" x14ac:dyDescent="0.15">
      <c r="A63" s="438" t="s">
        <v>1433</v>
      </c>
      <c r="B63" s="454">
        <f>B46-18700</f>
        <v>0</v>
      </c>
      <c r="C63" s="454">
        <f t="shared" ref="C63:P63" si="26">-C46</f>
        <v>598.5</v>
      </c>
      <c r="D63" s="454">
        <f t="shared" si="26"/>
        <v>1670.4749999999999</v>
      </c>
      <c r="E63" s="454">
        <f t="shared" si="26"/>
        <v>2089.7249999999999</v>
      </c>
      <c r="F63" s="454">
        <f t="shared" si="26"/>
        <v>2175.5250000000001</v>
      </c>
      <c r="G63" s="454">
        <f t="shared" si="26"/>
        <v>2263.9250000000002</v>
      </c>
      <c r="H63" s="454">
        <f t="shared" si="26"/>
        <v>2349.0749999999998</v>
      </c>
      <c r="I63" s="454">
        <f t="shared" si="26"/>
        <v>2349.0749999999998</v>
      </c>
      <c r="J63" s="454">
        <f t="shared" si="26"/>
        <v>2349.0749999999998</v>
      </c>
      <c r="K63" s="454">
        <f t="shared" si="26"/>
        <v>2349.0749999999998</v>
      </c>
      <c r="L63" s="454">
        <f t="shared" si="26"/>
        <v>2349.0749999999998</v>
      </c>
      <c r="M63" s="454">
        <f t="shared" si="26"/>
        <v>2652.95</v>
      </c>
      <c r="N63" s="454">
        <f t="shared" si="26"/>
        <v>2652.95</v>
      </c>
      <c r="O63" s="454">
        <f t="shared" si="26"/>
        <v>2652.95</v>
      </c>
      <c r="P63" s="454">
        <f t="shared" si="26"/>
        <v>2652.95</v>
      </c>
      <c r="Q63" s="454">
        <f>-Q46-18700</f>
        <v>-16047.05</v>
      </c>
      <c r="R63" s="454">
        <f>-R46</f>
        <v>2302.9499999999998</v>
      </c>
      <c r="S63" s="454">
        <f>-S46</f>
        <v>2302.9499999999998</v>
      </c>
      <c r="T63" s="454">
        <f>-T46</f>
        <v>2302.9499999999998</v>
      </c>
      <c r="U63" s="454">
        <f>-U46</f>
        <v>2302.9499999999998</v>
      </c>
      <c r="V63" s="454">
        <f>-V46+V26</f>
        <v>6002.95</v>
      </c>
    </row>
    <row r="64" spans="1:22" x14ac:dyDescent="0.15">
      <c r="A64" s="438" t="s">
        <v>835</v>
      </c>
      <c r="B64" s="453">
        <v>7.0000000000000007E-2</v>
      </c>
    </row>
    <row r="65" spans="1:22" x14ac:dyDescent="0.15">
      <c r="A65" s="438" t="s">
        <v>1075</v>
      </c>
      <c r="B65" s="452">
        <f>NPV(B64,B63:V63)</f>
        <v>15883.914856417794</v>
      </c>
    </row>
    <row r="73" spans="1:22" x14ac:dyDescent="0.15">
      <c r="A73" s="484" t="s">
        <v>1435</v>
      </c>
      <c r="B73" s="484"/>
      <c r="C73" s="484"/>
      <c r="D73" s="484"/>
      <c r="E73" s="484"/>
      <c r="F73" s="484"/>
      <c r="G73" s="484"/>
      <c r="H73" s="484"/>
    </row>
    <row r="75" spans="1:22" x14ac:dyDescent="0.15">
      <c r="A75" s="485"/>
      <c r="B75" s="485"/>
      <c r="C75" s="485"/>
      <c r="D75" s="485"/>
      <c r="E75" s="485"/>
      <c r="F75" s="485"/>
      <c r="G75" s="485"/>
      <c r="H75" s="485"/>
      <c r="I75" s="439"/>
      <c r="J75" s="439"/>
      <c r="K75" s="439"/>
      <c r="L75" s="439"/>
      <c r="M75" s="439"/>
      <c r="N75" s="439"/>
      <c r="O75" s="439"/>
      <c r="P75" s="439"/>
      <c r="Q75" s="439"/>
      <c r="R75" s="439"/>
      <c r="S75" s="439"/>
      <c r="T75" s="439"/>
      <c r="U75" s="439"/>
      <c r="V75" s="439"/>
    </row>
    <row r="76" spans="1:22" x14ac:dyDescent="0.15">
      <c r="B76" s="439"/>
      <c r="C76" s="439"/>
      <c r="D76" s="439"/>
      <c r="E76" s="439"/>
      <c r="F76" s="439"/>
      <c r="G76" s="439"/>
      <c r="H76" s="439"/>
      <c r="I76" s="439"/>
      <c r="J76" s="439"/>
      <c r="K76" s="439"/>
      <c r="L76" s="439"/>
      <c r="M76" s="439"/>
      <c r="N76" s="439"/>
      <c r="O76" s="439"/>
      <c r="P76" s="439"/>
      <c r="Q76" s="439"/>
      <c r="R76" s="439"/>
      <c r="S76" s="439"/>
      <c r="T76" s="439"/>
      <c r="U76" s="439"/>
      <c r="V76" s="439"/>
    </row>
    <row r="77" spans="1:22" x14ac:dyDescent="0.15">
      <c r="A77" s="438" t="s">
        <v>1421</v>
      </c>
      <c r="B77" s="439"/>
      <c r="C77" s="439"/>
      <c r="D77" s="439"/>
      <c r="E77" s="439"/>
      <c r="F77" s="439"/>
      <c r="G77" s="439"/>
      <c r="H77" s="450"/>
      <c r="I77" s="450"/>
      <c r="J77" s="450"/>
      <c r="K77" s="450"/>
      <c r="L77" s="450"/>
      <c r="M77" s="450"/>
      <c r="N77" s="450"/>
      <c r="O77" s="450"/>
      <c r="P77" s="450"/>
      <c r="Q77" s="450"/>
      <c r="R77" s="450"/>
      <c r="S77" s="450"/>
      <c r="T77" s="450"/>
      <c r="U77" s="450"/>
      <c r="V77" s="450"/>
    </row>
    <row r="78" spans="1:22" x14ac:dyDescent="0.15">
      <c r="B78" s="439"/>
      <c r="C78" s="439"/>
      <c r="D78" s="439"/>
      <c r="E78" s="439"/>
      <c r="F78" s="439"/>
      <c r="G78" s="439"/>
      <c r="H78" s="439"/>
      <c r="I78" s="439"/>
      <c r="J78" s="439"/>
      <c r="K78" s="439"/>
      <c r="L78" s="439"/>
      <c r="M78" s="439"/>
      <c r="N78" s="439"/>
      <c r="O78" s="439"/>
      <c r="P78" s="439"/>
      <c r="Q78" s="439"/>
      <c r="R78" s="439"/>
      <c r="S78" s="439"/>
      <c r="T78" s="439"/>
      <c r="U78" s="439"/>
      <c r="V78" s="439"/>
    </row>
    <row r="79" spans="1:22" x14ac:dyDescent="0.15">
      <c r="B79" s="450" t="s">
        <v>1314</v>
      </c>
      <c r="C79" s="450" t="s">
        <v>1315</v>
      </c>
      <c r="D79" s="450" t="s">
        <v>1316</v>
      </c>
      <c r="E79" s="450" t="s">
        <v>1317</v>
      </c>
      <c r="F79" s="450" t="s">
        <v>1414</v>
      </c>
      <c r="G79" s="450" t="s">
        <v>1413</v>
      </c>
      <c r="H79" s="450" t="s">
        <v>1412</v>
      </c>
      <c r="I79" s="450" t="s">
        <v>1411</v>
      </c>
      <c r="J79" s="450" t="s">
        <v>1410</v>
      </c>
      <c r="K79" s="450" t="s">
        <v>1409</v>
      </c>
      <c r="L79" s="450" t="s">
        <v>1408</v>
      </c>
      <c r="M79" s="450" t="s">
        <v>1407</v>
      </c>
      <c r="N79" s="450" t="s">
        <v>1406</v>
      </c>
      <c r="O79" s="450" t="s">
        <v>1405</v>
      </c>
      <c r="P79" s="450" t="s">
        <v>1404</v>
      </c>
      <c r="Q79" s="450" t="s">
        <v>1403</v>
      </c>
      <c r="R79" s="450" t="s">
        <v>1402</v>
      </c>
      <c r="S79" s="450" t="s">
        <v>1401</v>
      </c>
      <c r="T79" s="450" t="s">
        <v>1400</v>
      </c>
      <c r="U79" s="450" t="s">
        <v>1399</v>
      </c>
      <c r="V79" s="450" t="s">
        <v>1398</v>
      </c>
    </row>
    <row r="80" spans="1:22" x14ac:dyDescent="0.15">
      <c r="B80" s="439"/>
      <c r="C80" s="439"/>
      <c r="D80" s="439"/>
      <c r="E80" s="439"/>
      <c r="F80" s="439"/>
      <c r="G80" s="439"/>
      <c r="H80" s="439"/>
      <c r="I80" s="439"/>
      <c r="J80" s="439"/>
      <c r="K80" s="439"/>
      <c r="L80" s="439"/>
      <c r="M80" s="439"/>
      <c r="N80" s="439"/>
      <c r="O80" s="439"/>
      <c r="P80" s="439"/>
      <c r="Q80" s="439"/>
      <c r="R80" s="439"/>
      <c r="S80" s="439"/>
      <c r="T80" s="439"/>
      <c r="U80" s="439"/>
      <c r="V80" s="439"/>
    </row>
    <row r="81" spans="1:22" x14ac:dyDescent="0.15">
      <c r="A81" s="438" t="s">
        <v>227</v>
      </c>
      <c r="B81" s="449">
        <v>0</v>
      </c>
      <c r="C81" s="448">
        <v>3429</v>
      </c>
      <c r="D81" s="448">
        <v>5988</v>
      </c>
      <c r="E81" s="448">
        <v>6800</v>
      </c>
      <c r="F81" s="448">
        <v>7088</v>
      </c>
      <c r="G81" s="448">
        <v>7390</v>
      </c>
      <c r="H81" s="448">
        <v>7635</v>
      </c>
      <c r="I81" s="448">
        <f t="shared" ref="I81:V81" si="27">H81</f>
        <v>7635</v>
      </c>
      <c r="J81" s="448">
        <f t="shared" si="27"/>
        <v>7635</v>
      </c>
      <c r="K81" s="448">
        <f t="shared" si="27"/>
        <v>7635</v>
      </c>
      <c r="L81" s="448">
        <f t="shared" si="27"/>
        <v>7635</v>
      </c>
      <c r="M81" s="448">
        <f t="shared" si="27"/>
        <v>7635</v>
      </c>
      <c r="N81" s="448">
        <f t="shared" si="27"/>
        <v>7635</v>
      </c>
      <c r="O81" s="448">
        <f t="shared" si="27"/>
        <v>7635</v>
      </c>
      <c r="P81" s="448">
        <f t="shared" si="27"/>
        <v>7635</v>
      </c>
      <c r="Q81" s="448">
        <f t="shared" si="27"/>
        <v>7635</v>
      </c>
      <c r="R81" s="448">
        <f t="shared" si="27"/>
        <v>7635</v>
      </c>
      <c r="S81" s="448">
        <f t="shared" si="27"/>
        <v>7635</v>
      </c>
      <c r="T81" s="448">
        <f t="shared" si="27"/>
        <v>7635</v>
      </c>
      <c r="U81" s="448">
        <f t="shared" si="27"/>
        <v>7635</v>
      </c>
      <c r="V81" s="448">
        <f t="shared" si="27"/>
        <v>7635</v>
      </c>
    </row>
    <row r="82" spans="1:22" x14ac:dyDescent="0.15">
      <c r="A82" s="438" t="s">
        <v>1415</v>
      </c>
      <c r="B82" s="447">
        <v>0</v>
      </c>
      <c r="C82" s="446">
        <v>-1484</v>
      </c>
      <c r="D82" s="446">
        <v>-2551</v>
      </c>
      <c r="E82" s="446">
        <v>-2912</v>
      </c>
      <c r="F82" s="446">
        <v>-3047</v>
      </c>
      <c r="G82" s="446">
        <v>-3190</v>
      </c>
      <c r="H82" s="446">
        <v>-3301</v>
      </c>
      <c r="I82" s="446">
        <f t="shared" ref="I82:V82" si="28">H82</f>
        <v>-3301</v>
      </c>
      <c r="J82" s="446">
        <f t="shared" si="28"/>
        <v>-3301</v>
      </c>
      <c r="K82" s="446">
        <f t="shared" si="28"/>
        <v>-3301</v>
      </c>
      <c r="L82" s="446">
        <f t="shared" si="28"/>
        <v>-3301</v>
      </c>
      <c r="M82" s="446">
        <f t="shared" si="28"/>
        <v>-3301</v>
      </c>
      <c r="N82" s="446">
        <f t="shared" si="28"/>
        <v>-3301</v>
      </c>
      <c r="O82" s="446">
        <f t="shared" si="28"/>
        <v>-3301</v>
      </c>
      <c r="P82" s="446">
        <f t="shared" si="28"/>
        <v>-3301</v>
      </c>
      <c r="Q82" s="446">
        <f t="shared" si="28"/>
        <v>-3301</v>
      </c>
      <c r="R82" s="446">
        <f t="shared" si="28"/>
        <v>-3301</v>
      </c>
      <c r="S82" s="446">
        <f t="shared" si="28"/>
        <v>-3301</v>
      </c>
      <c r="T82" s="446">
        <f t="shared" si="28"/>
        <v>-3301</v>
      </c>
      <c r="U82" s="446">
        <f t="shared" si="28"/>
        <v>-3301</v>
      </c>
      <c r="V82" s="446">
        <f t="shared" si="28"/>
        <v>-3301</v>
      </c>
    </row>
    <row r="83" spans="1:22" x14ac:dyDescent="0.15">
      <c r="A83" s="438" t="s">
        <v>1416</v>
      </c>
      <c r="B83" s="447">
        <v>0</v>
      </c>
      <c r="C83" s="446">
        <v>-667</v>
      </c>
      <c r="D83" s="446">
        <v>-887</v>
      </c>
      <c r="E83" s="446">
        <v>-913</v>
      </c>
      <c r="F83" s="446">
        <v>-941</v>
      </c>
      <c r="G83" s="446">
        <v>-969</v>
      </c>
      <c r="H83" s="446">
        <v>-988</v>
      </c>
      <c r="I83" s="446">
        <f t="shared" ref="I83:V83" si="29">H83</f>
        <v>-988</v>
      </c>
      <c r="J83" s="446">
        <f t="shared" si="29"/>
        <v>-988</v>
      </c>
      <c r="K83" s="446">
        <f t="shared" si="29"/>
        <v>-988</v>
      </c>
      <c r="L83" s="446">
        <f t="shared" si="29"/>
        <v>-988</v>
      </c>
      <c r="M83" s="446">
        <f t="shared" si="29"/>
        <v>-988</v>
      </c>
      <c r="N83" s="446">
        <f t="shared" si="29"/>
        <v>-988</v>
      </c>
      <c r="O83" s="446">
        <f t="shared" si="29"/>
        <v>-988</v>
      </c>
      <c r="P83" s="446">
        <f t="shared" si="29"/>
        <v>-988</v>
      </c>
      <c r="Q83" s="446">
        <f t="shared" si="29"/>
        <v>-988</v>
      </c>
      <c r="R83" s="446">
        <f t="shared" si="29"/>
        <v>-988</v>
      </c>
      <c r="S83" s="446">
        <f t="shared" si="29"/>
        <v>-988</v>
      </c>
      <c r="T83" s="446">
        <f t="shared" si="29"/>
        <v>-988</v>
      </c>
      <c r="U83" s="446">
        <f t="shared" si="29"/>
        <v>-988</v>
      </c>
      <c r="V83" s="446">
        <f t="shared" si="29"/>
        <v>-988</v>
      </c>
    </row>
    <row r="84" spans="1:22" x14ac:dyDescent="0.15">
      <c r="A84" s="438" t="s">
        <v>1417</v>
      </c>
      <c r="B84" s="447">
        <v>0</v>
      </c>
      <c r="C84" s="446">
        <f>-1152+667+273</f>
        <v>-212</v>
      </c>
      <c r="D84" s="446">
        <v>-51</v>
      </c>
      <c r="E84" s="446">
        <v>169</v>
      </c>
      <c r="F84" s="446">
        <v>176</v>
      </c>
      <c r="G84" s="446">
        <v>181</v>
      </c>
      <c r="H84" s="446">
        <v>197</v>
      </c>
      <c r="I84" s="446">
        <f t="shared" ref="I84:V84" si="30">H84</f>
        <v>197</v>
      </c>
      <c r="J84" s="446">
        <f t="shared" si="30"/>
        <v>197</v>
      </c>
      <c r="K84" s="446">
        <f t="shared" si="30"/>
        <v>197</v>
      </c>
      <c r="L84" s="446">
        <f t="shared" si="30"/>
        <v>197</v>
      </c>
      <c r="M84" s="446">
        <f t="shared" si="30"/>
        <v>197</v>
      </c>
      <c r="N84" s="446">
        <f t="shared" si="30"/>
        <v>197</v>
      </c>
      <c r="O84" s="446">
        <f t="shared" si="30"/>
        <v>197</v>
      </c>
      <c r="P84" s="446">
        <f t="shared" si="30"/>
        <v>197</v>
      </c>
      <c r="Q84" s="446">
        <f t="shared" si="30"/>
        <v>197</v>
      </c>
      <c r="R84" s="446">
        <f t="shared" si="30"/>
        <v>197</v>
      </c>
      <c r="S84" s="446">
        <f t="shared" si="30"/>
        <v>197</v>
      </c>
      <c r="T84" s="446">
        <f t="shared" si="30"/>
        <v>197</v>
      </c>
      <c r="U84" s="446">
        <f t="shared" si="30"/>
        <v>197</v>
      </c>
      <c r="V84" s="446">
        <f t="shared" si="30"/>
        <v>197</v>
      </c>
    </row>
    <row r="85" spans="1:22" x14ac:dyDescent="0.15">
      <c r="A85" s="438" t="s">
        <v>1418</v>
      </c>
      <c r="B85" s="447">
        <v>0</v>
      </c>
      <c r="C85" s="446">
        <v>-1350</v>
      </c>
      <c r="D85" s="446">
        <v>-1350</v>
      </c>
      <c r="E85" s="446">
        <v>-1350</v>
      </c>
      <c r="F85" s="446">
        <v>-1350</v>
      </c>
      <c r="G85" s="446">
        <v>-1350</v>
      </c>
      <c r="H85" s="446">
        <v>-1350</v>
      </c>
      <c r="I85" s="446">
        <v>-1350</v>
      </c>
      <c r="J85" s="446">
        <v>-1350</v>
      </c>
      <c r="K85" s="446">
        <v>-1350</v>
      </c>
      <c r="L85" s="446">
        <v>-1350</v>
      </c>
      <c r="M85" s="446">
        <v>-1350</v>
      </c>
      <c r="N85" s="446">
        <v>-1350</v>
      </c>
      <c r="O85" s="446">
        <v>-1350</v>
      </c>
      <c r="P85" s="446">
        <v>-1350</v>
      </c>
      <c r="Q85" s="446">
        <v>-1350</v>
      </c>
      <c r="R85" s="446">
        <v>-1350</v>
      </c>
      <c r="S85" s="446">
        <v>-1350</v>
      </c>
      <c r="T85" s="446">
        <v>-1350</v>
      </c>
      <c r="U85" s="446">
        <v>-1350</v>
      </c>
      <c r="V85" s="446">
        <v>-1350</v>
      </c>
    </row>
    <row r="86" spans="1:22" x14ac:dyDescent="0.15">
      <c r="A86" s="459" t="s">
        <v>177</v>
      </c>
      <c r="B86" s="445">
        <v>0</v>
      </c>
      <c r="C86" s="444">
        <f t="shared" ref="C86:V86" si="31">+SUM(C81:C85)</f>
        <v>-284</v>
      </c>
      <c r="D86" s="444">
        <f t="shared" si="31"/>
        <v>1149</v>
      </c>
      <c r="E86" s="444">
        <f t="shared" si="31"/>
        <v>1794</v>
      </c>
      <c r="F86" s="444">
        <f t="shared" si="31"/>
        <v>1926</v>
      </c>
      <c r="G86" s="444">
        <f t="shared" si="31"/>
        <v>2062</v>
      </c>
      <c r="H86" s="444">
        <f t="shared" si="31"/>
        <v>2193</v>
      </c>
      <c r="I86" s="444">
        <f t="shared" si="31"/>
        <v>2193</v>
      </c>
      <c r="J86" s="444">
        <f t="shared" si="31"/>
        <v>2193</v>
      </c>
      <c r="K86" s="444">
        <f t="shared" si="31"/>
        <v>2193</v>
      </c>
      <c r="L86" s="444">
        <f t="shared" si="31"/>
        <v>2193</v>
      </c>
      <c r="M86" s="444">
        <f t="shared" si="31"/>
        <v>2193</v>
      </c>
      <c r="N86" s="444">
        <f t="shared" si="31"/>
        <v>2193</v>
      </c>
      <c r="O86" s="444">
        <f t="shared" si="31"/>
        <v>2193</v>
      </c>
      <c r="P86" s="444">
        <f t="shared" si="31"/>
        <v>2193</v>
      </c>
      <c r="Q86" s="444">
        <f t="shared" si="31"/>
        <v>2193</v>
      </c>
      <c r="R86" s="444">
        <f t="shared" si="31"/>
        <v>2193</v>
      </c>
      <c r="S86" s="444">
        <f t="shared" si="31"/>
        <v>2193</v>
      </c>
      <c r="T86" s="444">
        <f t="shared" si="31"/>
        <v>2193</v>
      </c>
      <c r="U86" s="444">
        <f t="shared" si="31"/>
        <v>2193</v>
      </c>
      <c r="V86" s="444">
        <f t="shared" si="31"/>
        <v>2193</v>
      </c>
    </row>
    <row r="87" spans="1:22" x14ac:dyDescent="0.15">
      <c r="A87" s="438" t="s">
        <v>178</v>
      </c>
      <c r="B87" s="447">
        <v>0</v>
      </c>
      <c r="C87" s="446">
        <v>0</v>
      </c>
      <c r="D87" s="446">
        <f t="shared" ref="D87:Q87" si="32">C87</f>
        <v>0</v>
      </c>
      <c r="E87" s="446">
        <f t="shared" si="32"/>
        <v>0</v>
      </c>
      <c r="F87" s="446">
        <f t="shared" si="32"/>
        <v>0</v>
      </c>
      <c r="G87" s="446">
        <f t="shared" si="32"/>
        <v>0</v>
      </c>
      <c r="H87" s="446">
        <f t="shared" si="32"/>
        <v>0</v>
      </c>
      <c r="I87" s="446">
        <f t="shared" si="32"/>
        <v>0</v>
      </c>
      <c r="J87" s="446">
        <f t="shared" si="32"/>
        <v>0</v>
      </c>
      <c r="K87" s="446">
        <f t="shared" si="32"/>
        <v>0</v>
      </c>
      <c r="L87" s="446">
        <f t="shared" si="32"/>
        <v>0</v>
      </c>
      <c r="M87" s="446">
        <f t="shared" si="32"/>
        <v>0</v>
      </c>
      <c r="N87" s="446">
        <f t="shared" si="32"/>
        <v>0</v>
      </c>
      <c r="O87" s="446">
        <f t="shared" si="32"/>
        <v>0</v>
      </c>
      <c r="P87" s="446">
        <f t="shared" si="32"/>
        <v>0</v>
      </c>
      <c r="Q87" s="446">
        <f t="shared" si="32"/>
        <v>0</v>
      </c>
      <c r="R87" s="446">
        <v>0</v>
      </c>
      <c r="S87" s="446">
        <f>R87</f>
        <v>0</v>
      </c>
      <c r="T87" s="446">
        <f>S87</f>
        <v>0</v>
      </c>
      <c r="U87" s="446">
        <f>T87</f>
        <v>0</v>
      </c>
      <c r="V87" s="446">
        <f>U87</f>
        <v>0</v>
      </c>
    </row>
    <row r="88" spans="1:22" x14ac:dyDescent="0.15">
      <c r="A88" s="459" t="s">
        <v>346</v>
      </c>
      <c r="B88" s="445">
        <v>0</v>
      </c>
      <c r="C88" s="444">
        <f t="shared" ref="C88:V88" si="33">+C86+C87</f>
        <v>-284</v>
      </c>
      <c r="D88" s="444">
        <f t="shared" si="33"/>
        <v>1149</v>
      </c>
      <c r="E88" s="444">
        <f t="shared" si="33"/>
        <v>1794</v>
      </c>
      <c r="F88" s="444">
        <f t="shared" si="33"/>
        <v>1926</v>
      </c>
      <c r="G88" s="444">
        <f t="shared" si="33"/>
        <v>2062</v>
      </c>
      <c r="H88" s="444">
        <f t="shared" si="33"/>
        <v>2193</v>
      </c>
      <c r="I88" s="444">
        <f t="shared" si="33"/>
        <v>2193</v>
      </c>
      <c r="J88" s="444">
        <f t="shared" si="33"/>
        <v>2193</v>
      </c>
      <c r="K88" s="444">
        <f t="shared" si="33"/>
        <v>2193</v>
      </c>
      <c r="L88" s="444">
        <f t="shared" si="33"/>
        <v>2193</v>
      </c>
      <c r="M88" s="444">
        <f t="shared" si="33"/>
        <v>2193</v>
      </c>
      <c r="N88" s="444">
        <f t="shared" si="33"/>
        <v>2193</v>
      </c>
      <c r="O88" s="444">
        <f t="shared" si="33"/>
        <v>2193</v>
      </c>
      <c r="P88" s="444">
        <f t="shared" si="33"/>
        <v>2193</v>
      </c>
      <c r="Q88" s="444">
        <f t="shared" si="33"/>
        <v>2193</v>
      </c>
      <c r="R88" s="444">
        <f t="shared" si="33"/>
        <v>2193</v>
      </c>
      <c r="S88" s="444">
        <f t="shared" si="33"/>
        <v>2193</v>
      </c>
      <c r="T88" s="444">
        <f t="shared" si="33"/>
        <v>2193</v>
      </c>
      <c r="U88" s="444">
        <f t="shared" si="33"/>
        <v>2193</v>
      </c>
      <c r="V88" s="444">
        <f t="shared" si="33"/>
        <v>2193</v>
      </c>
    </row>
    <row r="89" spans="1:22" x14ac:dyDescent="0.15">
      <c r="A89" s="438" t="s">
        <v>1068</v>
      </c>
      <c r="B89" s="447">
        <v>0</v>
      </c>
      <c r="C89" s="446">
        <f t="shared" ref="C89:L89" si="34">-$B$30*$B$51</f>
        <v>-467.5</v>
      </c>
      <c r="D89" s="446">
        <f t="shared" si="34"/>
        <v>-467.5</v>
      </c>
      <c r="E89" s="446">
        <f t="shared" si="34"/>
        <v>-467.5</v>
      </c>
      <c r="F89" s="446">
        <f t="shared" si="34"/>
        <v>-467.5</v>
      </c>
      <c r="G89" s="446">
        <f t="shared" si="34"/>
        <v>-467.5</v>
      </c>
      <c r="H89" s="446">
        <f t="shared" si="34"/>
        <v>-467.5</v>
      </c>
      <c r="I89" s="446">
        <f t="shared" si="34"/>
        <v>-467.5</v>
      </c>
      <c r="J89" s="446">
        <f t="shared" si="34"/>
        <v>-467.5</v>
      </c>
      <c r="K89" s="446">
        <f t="shared" si="34"/>
        <v>-467.5</v>
      </c>
      <c r="L89" s="446">
        <f t="shared" si="34"/>
        <v>-467.5</v>
      </c>
      <c r="M89" s="446">
        <v>0</v>
      </c>
      <c r="N89" s="446">
        <v>0</v>
      </c>
      <c r="O89" s="446">
        <v>0</v>
      </c>
      <c r="P89" s="446">
        <v>0</v>
      </c>
      <c r="Q89" s="446">
        <v>0</v>
      </c>
      <c r="R89" s="446">
        <v>0</v>
      </c>
      <c r="S89" s="446">
        <v>0</v>
      </c>
      <c r="T89" s="446">
        <v>0</v>
      </c>
      <c r="U89" s="446">
        <v>0</v>
      </c>
      <c r="V89" s="446">
        <v>0</v>
      </c>
    </row>
    <row r="90" spans="1:22" x14ac:dyDescent="0.15">
      <c r="A90" s="438" t="s">
        <v>1419</v>
      </c>
      <c r="B90" s="447">
        <v>0</v>
      </c>
      <c r="C90" s="446">
        <f>+IF((C88+C89)&lt;0,0,(C88+C89)*$B$20)</f>
        <v>0</v>
      </c>
      <c r="D90" s="446">
        <f t="shared" ref="D90:V90" si="35">+IF((D88+D89)&lt;0,0,-(D88+D89)*$B$20)</f>
        <v>-238.52499999999998</v>
      </c>
      <c r="E90" s="446">
        <f t="shared" si="35"/>
        <v>-464.27499999999998</v>
      </c>
      <c r="F90" s="446">
        <f t="shared" si="35"/>
        <v>-510.47499999999997</v>
      </c>
      <c r="G90" s="446">
        <f t="shared" si="35"/>
        <v>-558.07499999999993</v>
      </c>
      <c r="H90" s="446">
        <f t="shared" si="35"/>
        <v>-603.92499999999995</v>
      </c>
      <c r="I90" s="446">
        <f t="shared" si="35"/>
        <v>-603.92499999999995</v>
      </c>
      <c r="J90" s="446">
        <f t="shared" si="35"/>
        <v>-603.92499999999995</v>
      </c>
      <c r="K90" s="446">
        <f t="shared" si="35"/>
        <v>-603.92499999999995</v>
      </c>
      <c r="L90" s="446">
        <f t="shared" si="35"/>
        <v>-603.92499999999995</v>
      </c>
      <c r="M90" s="446">
        <f t="shared" si="35"/>
        <v>-767.55</v>
      </c>
      <c r="N90" s="446">
        <f t="shared" si="35"/>
        <v>-767.55</v>
      </c>
      <c r="O90" s="446">
        <f t="shared" si="35"/>
        <v>-767.55</v>
      </c>
      <c r="P90" s="446">
        <f t="shared" si="35"/>
        <v>-767.55</v>
      </c>
      <c r="Q90" s="446">
        <f t="shared" si="35"/>
        <v>-767.55</v>
      </c>
      <c r="R90" s="446">
        <f t="shared" si="35"/>
        <v>-767.55</v>
      </c>
      <c r="S90" s="446">
        <f t="shared" si="35"/>
        <v>-767.55</v>
      </c>
      <c r="T90" s="446">
        <f t="shared" si="35"/>
        <v>-767.55</v>
      </c>
      <c r="U90" s="446">
        <f t="shared" si="35"/>
        <v>-767.55</v>
      </c>
      <c r="V90" s="446">
        <f t="shared" si="35"/>
        <v>-767.55</v>
      </c>
    </row>
    <row r="91" spans="1:22" x14ac:dyDescent="0.15">
      <c r="A91" s="459" t="s">
        <v>251</v>
      </c>
      <c r="B91" s="445">
        <v>0</v>
      </c>
      <c r="C91" s="444">
        <f t="shared" ref="C91:V91" si="36">+SUM(C88:C90)</f>
        <v>-751.5</v>
      </c>
      <c r="D91" s="444">
        <f t="shared" si="36"/>
        <v>442.97500000000002</v>
      </c>
      <c r="E91" s="444">
        <f t="shared" si="36"/>
        <v>862.22500000000002</v>
      </c>
      <c r="F91" s="444">
        <f t="shared" si="36"/>
        <v>948.02500000000009</v>
      </c>
      <c r="G91" s="444">
        <f t="shared" si="36"/>
        <v>1036.4250000000002</v>
      </c>
      <c r="H91" s="444">
        <f t="shared" si="36"/>
        <v>1121.575</v>
      </c>
      <c r="I91" s="444">
        <f t="shared" si="36"/>
        <v>1121.575</v>
      </c>
      <c r="J91" s="444">
        <f t="shared" si="36"/>
        <v>1121.575</v>
      </c>
      <c r="K91" s="444">
        <f t="shared" si="36"/>
        <v>1121.575</v>
      </c>
      <c r="L91" s="444">
        <f t="shared" si="36"/>
        <v>1121.575</v>
      </c>
      <c r="M91" s="444">
        <f t="shared" si="36"/>
        <v>1425.45</v>
      </c>
      <c r="N91" s="444">
        <f t="shared" si="36"/>
        <v>1425.45</v>
      </c>
      <c r="O91" s="444">
        <f t="shared" si="36"/>
        <v>1425.45</v>
      </c>
      <c r="P91" s="444">
        <f t="shared" si="36"/>
        <v>1425.45</v>
      </c>
      <c r="Q91" s="444">
        <f t="shared" si="36"/>
        <v>1425.45</v>
      </c>
      <c r="R91" s="444">
        <f t="shared" si="36"/>
        <v>1425.45</v>
      </c>
      <c r="S91" s="444">
        <f t="shared" si="36"/>
        <v>1425.45</v>
      </c>
      <c r="T91" s="444">
        <f t="shared" si="36"/>
        <v>1425.45</v>
      </c>
      <c r="U91" s="444">
        <f t="shared" si="36"/>
        <v>1425.45</v>
      </c>
      <c r="V91" s="444">
        <f t="shared" si="36"/>
        <v>1425.45</v>
      </c>
    </row>
    <row r="92" spans="1:22" x14ac:dyDescent="0.15">
      <c r="B92" s="439"/>
      <c r="C92" s="439"/>
      <c r="D92" s="439"/>
      <c r="E92" s="439"/>
      <c r="F92" s="439"/>
      <c r="G92" s="439"/>
      <c r="H92" s="439"/>
      <c r="I92" s="439"/>
      <c r="J92" s="439"/>
      <c r="K92" s="439"/>
      <c r="L92" s="439"/>
      <c r="M92" s="439"/>
      <c r="N92" s="439"/>
      <c r="O92" s="439"/>
      <c r="P92" s="439"/>
      <c r="Q92" s="439"/>
      <c r="R92" s="439"/>
      <c r="S92" s="439"/>
      <c r="T92" s="439"/>
      <c r="U92" s="439"/>
      <c r="V92" s="439"/>
    </row>
    <row r="93" spans="1:22" x14ac:dyDescent="0.15">
      <c r="A93" s="465" t="s">
        <v>1420</v>
      </c>
      <c r="B93" s="451">
        <v>0.35</v>
      </c>
      <c r="C93" s="439"/>
      <c r="D93" s="439"/>
      <c r="E93" s="439"/>
      <c r="F93" s="439"/>
      <c r="G93" s="439"/>
      <c r="H93" s="439"/>
      <c r="I93" s="439"/>
      <c r="J93" s="439"/>
      <c r="K93" s="439"/>
      <c r="L93" s="439"/>
      <c r="M93" s="439"/>
      <c r="N93" s="439"/>
      <c r="O93" s="439"/>
      <c r="P93" s="439"/>
      <c r="Q93" s="439"/>
      <c r="R93" s="439"/>
      <c r="S93" s="439"/>
      <c r="T93" s="439"/>
      <c r="U93" s="439"/>
      <c r="V93" s="439"/>
    </row>
    <row r="94" spans="1:22" x14ac:dyDescent="0.15">
      <c r="B94" s="439"/>
      <c r="C94" s="439"/>
      <c r="D94" s="439"/>
      <c r="E94" s="439"/>
      <c r="F94" s="439"/>
      <c r="G94" s="439"/>
      <c r="H94" s="439"/>
      <c r="I94" s="439"/>
      <c r="J94" s="439"/>
      <c r="K94" s="439"/>
      <c r="L94" s="439"/>
      <c r="M94" s="439"/>
      <c r="N94" s="439"/>
      <c r="O94" s="439"/>
      <c r="P94" s="439"/>
      <c r="Q94" s="439"/>
      <c r="R94" s="439"/>
      <c r="S94" s="439"/>
      <c r="T94" s="439"/>
      <c r="U94" s="439"/>
      <c r="V94" s="439"/>
    </row>
    <row r="95" spans="1:22" x14ac:dyDescent="0.15">
      <c r="B95" s="439"/>
      <c r="C95" s="439"/>
      <c r="D95" s="439"/>
      <c r="E95" s="439"/>
      <c r="F95" s="439"/>
      <c r="G95" s="439"/>
      <c r="H95" s="439"/>
      <c r="I95" s="439"/>
      <c r="J95" s="439"/>
      <c r="K95" s="439"/>
      <c r="L95" s="439"/>
      <c r="M95" s="439"/>
      <c r="N95" s="439"/>
      <c r="O95" s="439"/>
      <c r="P95" s="439"/>
      <c r="Q95" s="439"/>
      <c r="R95" s="439"/>
      <c r="S95" s="439"/>
      <c r="T95" s="439"/>
      <c r="U95" s="439"/>
      <c r="V95" s="439"/>
    </row>
    <row r="96" spans="1:22" x14ac:dyDescent="0.15">
      <c r="B96" s="439"/>
      <c r="C96" s="439"/>
      <c r="D96" s="439"/>
      <c r="E96" s="439"/>
      <c r="F96" s="439"/>
      <c r="G96" s="439"/>
      <c r="H96" s="439"/>
      <c r="I96" s="439"/>
      <c r="J96" s="439"/>
      <c r="K96" s="439"/>
      <c r="L96" s="439"/>
      <c r="M96" s="439"/>
      <c r="N96" s="439"/>
      <c r="O96" s="439"/>
      <c r="P96" s="439"/>
      <c r="Q96" s="439"/>
      <c r="R96" s="439"/>
      <c r="S96" s="439"/>
      <c r="T96" s="439"/>
      <c r="U96" s="439"/>
      <c r="V96" s="439"/>
    </row>
    <row r="97" spans="1:22" x14ac:dyDescent="0.15">
      <c r="A97" s="438" t="s">
        <v>1422</v>
      </c>
      <c r="B97" s="450" t="str">
        <f t="shared" ref="B97:V97" si="37">B79</f>
        <v>N</v>
      </c>
      <c r="C97" s="450" t="str">
        <f t="shared" si="37"/>
        <v>N+1</v>
      </c>
      <c r="D97" s="450" t="str">
        <f t="shared" si="37"/>
        <v>N+2</v>
      </c>
      <c r="E97" s="450" t="str">
        <f t="shared" si="37"/>
        <v>N+3</v>
      </c>
      <c r="F97" s="450" t="str">
        <f t="shared" si="37"/>
        <v>N+4</v>
      </c>
      <c r="G97" s="450" t="str">
        <f t="shared" si="37"/>
        <v>N+5</v>
      </c>
      <c r="H97" s="450" t="str">
        <f t="shared" si="37"/>
        <v>N+6</v>
      </c>
      <c r="I97" s="450" t="str">
        <f t="shared" si="37"/>
        <v>N+7</v>
      </c>
      <c r="J97" s="450" t="str">
        <f t="shared" si="37"/>
        <v>N+8</v>
      </c>
      <c r="K97" s="450" t="str">
        <f t="shared" si="37"/>
        <v>N+9</v>
      </c>
      <c r="L97" s="450" t="str">
        <f t="shared" si="37"/>
        <v>N+10</v>
      </c>
      <c r="M97" s="450" t="str">
        <f t="shared" si="37"/>
        <v>N+11</v>
      </c>
      <c r="N97" s="450" t="str">
        <f t="shared" si="37"/>
        <v>N+12</v>
      </c>
      <c r="O97" s="450" t="str">
        <f t="shared" si="37"/>
        <v>N+13</v>
      </c>
      <c r="P97" s="450" t="str">
        <f t="shared" si="37"/>
        <v>N+14</v>
      </c>
      <c r="Q97" s="450" t="str">
        <f t="shared" si="37"/>
        <v>N+15</v>
      </c>
      <c r="R97" s="450" t="str">
        <f t="shared" si="37"/>
        <v>N+16</v>
      </c>
      <c r="S97" s="450" t="str">
        <f t="shared" si="37"/>
        <v>N+17</v>
      </c>
      <c r="T97" s="450" t="str">
        <f t="shared" si="37"/>
        <v>N+18</v>
      </c>
      <c r="U97" s="450" t="str">
        <f t="shared" si="37"/>
        <v>N+19</v>
      </c>
      <c r="V97" s="450" t="str">
        <f t="shared" si="37"/>
        <v>N+20</v>
      </c>
    </row>
    <row r="98" spans="1:22" x14ac:dyDescent="0.15">
      <c r="B98" s="439"/>
      <c r="C98" s="439"/>
      <c r="D98" s="439"/>
      <c r="E98" s="439"/>
      <c r="F98" s="439"/>
      <c r="G98" s="439"/>
      <c r="H98" s="439"/>
      <c r="I98" s="439"/>
      <c r="J98" s="439"/>
      <c r="K98" s="439"/>
      <c r="L98" s="439"/>
      <c r="M98" s="439"/>
      <c r="N98" s="439"/>
      <c r="O98" s="439"/>
      <c r="P98" s="439"/>
      <c r="Q98" s="439"/>
      <c r="R98" s="439"/>
      <c r="S98" s="439"/>
      <c r="T98" s="439"/>
      <c r="U98" s="439"/>
      <c r="V98" s="439"/>
    </row>
    <row r="99" spans="1:22" x14ac:dyDescent="0.15">
      <c r="A99" s="438" t="s">
        <v>964</v>
      </c>
      <c r="B99" s="449">
        <v>0</v>
      </c>
      <c r="C99" s="448">
        <f t="shared" ref="C99:V99" si="38">+B99+C87</f>
        <v>0</v>
      </c>
      <c r="D99" s="448">
        <f t="shared" si="38"/>
        <v>0</v>
      </c>
      <c r="E99" s="448">
        <f t="shared" si="38"/>
        <v>0</v>
      </c>
      <c r="F99" s="448">
        <f t="shared" si="38"/>
        <v>0</v>
      </c>
      <c r="G99" s="448">
        <f t="shared" si="38"/>
        <v>0</v>
      </c>
      <c r="H99" s="448">
        <f t="shared" si="38"/>
        <v>0</v>
      </c>
      <c r="I99" s="448">
        <f t="shared" si="38"/>
        <v>0</v>
      </c>
      <c r="J99" s="448">
        <f t="shared" si="38"/>
        <v>0</v>
      </c>
      <c r="K99" s="448">
        <f t="shared" si="38"/>
        <v>0</v>
      </c>
      <c r="L99" s="448">
        <f t="shared" si="38"/>
        <v>0</v>
      </c>
      <c r="M99" s="448">
        <f t="shared" si="38"/>
        <v>0</v>
      </c>
      <c r="N99" s="448">
        <f t="shared" si="38"/>
        <v>0</v>
      </c>
      <c r="O99" s="448">
        <f t="shared" si="38"/>
        <v>0</v>
      </c>
      <c r="P99" s="448">
        <f t="shared" si="38"/>
        <v>0</v>
      </c>
      <c r="Q99" s="448">
        <f t="shared" si="38"/>
        <v>0</v>
      </c>
      <c r="R99" s="448">
        <f t="shared" si="38"/>
        <v>0</v>
      </c>
      <c r="S99" s="448">
        <f t="shared" si="38"/>
        <v>0</v>
      </c>
      <c r="T99" s="448">
        <f t="shared" si="38"/>
        <v>0</v>
      </c>
      <c r="U99" s="448">
        <f t="shared" si="38"/>
        <v>0</v>
      </c>
      <c r="V99" s="448">
        <f t="shared" si="38"/>
        <v>0</v>
      </c>
    </row>
    <row r="100" spans="1:22" x14ac:dyDescent="0.15">
      <c r="A100" s="438" t="s">
        <v>413</v>
      </c>
      <c r="B100" s="447">
        <v>0</v>
      </c>
      <c r="C100" s="446">
        <v>0</v>
      </c>
      <c r="D100" s="446">
        <v>0</v>
      </c>
      <c r="E100" s="446">
        <v>0</v>
      </c>
      <c r="F100" s="446">
        <v>0</v>
      </c>
      <c r="G100" s="446">
        <v>0</v>
      </c>
      <c r="H100" s="446">
        <v>0</v>
      </c>
      <c r="I100" s="446">
        <v>0</v>
      </c>
      <c r="J100" s="446">
        <v>0</v>
      </c>
      <c r="K100" s="446">
        <v>0</v>
      </c>
      <c r="L100" s="446">
        <v>0</v>
      </c>
      <c r="M100" s="446">
        <v>0</v>
      </c>
      <c r="N100" s="446">
        <v>0</v>
      </c>
      <c r="O100" s="446">
        <v>0</v>
      </c>
      <c r="P100" s="446">
        <v>0</v>
      </c>
      <c r="Q100" s="446">
        <v>0</v>
      </c>
      <c r="R100" s="446">
        <v>0</v>
      </c>
      <c r="S100" s="446">
        <v>0</v>
      </c>
      <c r="T100" s="446">
        <v>0</v>
      </c>
      <c r="U100" s="446">
        <v>0</v>
      </c>
      <c r="V100" s="446">
        <v>0</v>
      </c>
    </row>
    <row r="101" spans="1:22" x14ac:dyDescent="0.15">
      <c r="A101" s="459" t="s">
        <v>978</v>
      </c>
      <c r="B101" s="445">
        <f t="shared" ref="B101:V101" si="39">+B100+B99</f>
        <v>0</v>
      </c>
      <c r="C101" s="444">
        <f t="shared" si="39"/>
        <v>0</v>
      </c>
      <c r="D101" s="444">
        <f t="shared" si="39"/>
        <v>0</v>
      </c>
      <c r="E101" s="444">
        <f t="shared" si="39"/>
        <v>0</v>
      </c>
      <c r="F101" s="444">
        <f t="shared" si="39"/>
        <v>0</v>
      </c>
      <c r="G101" s="444">
        <f t="shared" si="39"/>
        <v>0</v>
      </c>
      <c r="H101" s="444">
        <f t="shared" si="39"/>
        <v>0</v>
      </c>
      <c r="I101" s="444">
        <f t="shared" si="39"/>
        <v>0</v>
      </c>
      <c r="J101" s="444">
        <f t="shared" si="39"/>
        <v>0</v>
      </c>
      <c r="K101" s="444">
        <f t="shared" si="39"/>
        <v>0</v>
      </c>
      <c r="L101" s="444">
        <f t="shared" si="39"/>
        <v>0</v>
      </c>
      <c r="M101" s="444">
        <f t="shared" si="39"/>
        <v>0</v>
      </c>
      <c r="N101" s="444">
        <f t="shared" si="39"/>
        <v>0</v>
      </c>
      <c r="O101" s="444">
        <f t="shared" si="39"/>
        <v>0</v>
      </c>
      <c r="P101" s="444">
        <f t="shared" si="39"/>
        <v>0</v>
      </c>
      <c r="Q101" s="444">
        <f t="shared" si="39"/>
        <v>0</v>
      </c>
      <c r="R101" s="444">
        <f t="shared" si="39"/>
        <v>0</v>
      </c>
      <c r="S101" s="444">
        <f t="shared" si="39"/>
        <v>0</v>
      </c>
      <c r="T101" s="444">
        <f t="shared" si="39"/>
        <v>0</v>
      </c>
      <c r="U101" s="444">
        <f t="shared" si="39"/>
        <v>0</v>
      </c>
      <c r="V101" s="444">
        <f t="shared" si="39"/>
        <v>0</v>
      </c>
    </row>
    <row r="102" spans="1:22" x14ac:dyDescent="0.15">
      <c r="A102" s="438" t="s">
        <v>300</v>
      </c>
      <c r="B102" s="447">
        <v>0</v>
      </c>
      <c r="C102" s="446">
        <f t="shared" ref="C102:V102" si="40">+B102+C91</f>
        <v>-751.5</v>
      </c>
      <c r="D102" s="446">
        <f t="shared" si="40"/>
        <v>-308.52499999999998</v>
      </c>
      <c r="E102" s="446">
        <f t="shared" si="40"/>
        <v>553.70000000000005</v>
      </c>
      <c r="F102" s="446">
        <f t="shared" si="40"/>
        <v>1501.7250000000001</v>
      </c>
      <c r="G102" s="446">
        <f t="shared" si="40"/>
        <v>2538.1500000000005</v>
      </c>
      <c r="H102" s="446">
        <f t="shared" si="40"/>
        <v>3659.7250000000004</v>
      </c>
      <c r="I102" s="446">
        <f t="shared" si="40"/>
        <v>4781.3</v>
      </c>
      <c r="J102" s="446">
        <f t="shared" si="40"/>
        <v>5902.875</v>
      </c>
      <c r="K102" s="446">
        <f t="shared" si="40"/>
        <v>7024.45</v>
      </c>
      <c r="L102" s="446">
        <f t="shared" si="40"/>
        <v>8146.0249999999996</v>
      </c>
      <c r="M102" s="446">
        <f t="shared" si="40"/>
        <v>9571.4750000000004</v>
      </c>
      <c r="N102" s="446">
        <f t="shared" si="40"/>
        <v>10996.925000000001</v>
      </c>
      <c r="O102" s="446">
        <f t="shared" si="40"/>
        <v>12422.375000000002</v>
      </c>
      <c r="P102" s="446">
        <f t="shared" si="40"/>
        <v>13847.825000000003</v>
      </c>
      <c r="Q102" s="446">
        <f t="shared" si="40"/>
        <v>15273.275000000003</v>
      </c>
      <c r="R102" s="446">
        <f t="shared" si="40"/>
        <v>16698.725000000002</v>
      </c>
      <c r="S102" s="446">
        <f t="shared" si="40"/>
        <v>18124.175000000003</v>
      </c>
      <c r="T102" s="446">
        <f t="shared" si="40"/>
        <v>19549.625000000004</v>
      </c>
      <c r="U102" s="446">
        <f t="shared" si="40"/>
        <v>20975.075000000004</v>
      </c>
      <c r="V102" s="446">
        <f t="shared" si="40"/>
        <v>22400.525000000005</v>
      </c>
    </row>
    <row r="103" spans="1:22" x14ac:dyDescent="0.15">
      <c r="A103" s="438" t="s">
        <v>1423</v>
      </c>
      <c r="B103" s="447">
        <f>+B99</f>
        <v>0</v>
      </c>
      <c r="C103" s="446">
        <f t="shared" ref="C103:V103" si="41">+B103+C119</f>
        <v>751.5</v>
      </c>
      <c r="D103" s="446">
        <f t="shared" si="41"/>
        <v>308.52499999999998</v>
      </c>
      <c r="E103" s="446">
        <f t="shared" si="41"/>
        <v>-553.70000000000005</v>
      </c>
      <c r="F103" s="446">
        <f t="shared" si="41"/>
        <v>-1501.7250000000001</v>
      </c>
      <c r="G103" s="446">
        <f t="shared" si="41"/>
        <v>-2538.1500000000005</v>
      </c>
      <c r="H103" s="446">
        <f t="shared" si="41"/>
        <v>-3659.7250000000004</v>
      </c>
      <c r="I103" s="446">
        <f t="shared" si="41"/>
        <v>-4781.3</v>
      </c>
      <c r="J103" s="446">
        <f t="shared" si="41"/>
        <v>-5902.875</v>
      </c>
      <c r="K103" s="446">
        <f t="shared" si="41"/>
        <v>-7024.45</v>
      </c>
      <c r="L103" s="446">
        <f t="shared" si="41"/>
        <v>-8146.0249999999996</v>
      </c>
      <c r="M103" s="446">
        <f t="shared" si="41"/>
        <v>-9571.4750000000004</v>
      </c>
      <c r="N103" s="446">
        <f t="shared" si="41"/>
        <v>-10996.925000000001</v>
      </c>
      <c r="O103" s="446">
        <f t="shared" si="41"/>
        <v>-12422.375000000002</v>
      </c>
      <c r="P103" s="446">
        <f t="shared" si="41"/>
        <v>-13847.825000000003</v>
      </c>
      <c r="Q103" s="446">
        <f t="shared" si="41"/>
        <v>-15273.275000000003</v>
      </c>
      <c r="R103" s="446">
        <f t="shared" si="41"/>
        <v>-16698.725000000002</v>
      </c>
      <c r="S103" s="446">
        <f t="shared" si="41"/>
        <v>-18124.175000000003</v>
      </c>
      <c r="T103" s="446">
        <f t="shared" si="41"/>
        <v>-19549.625000000004</v>
      </c>
      <c r="U103" s="446">
        <f t="shared" si="41"/>
        <v>-20975.075000000004</v>
      </c>
      <c r="V103" s="446">
        <f t="shared" si="41"/>
        <v>-22400.525000000005</v>
      </c>
    </row>
    <row r="104" spans="1:22" x14ac:dyDescent="0.15">
      <c r="A104" s="459" t="s">
        <v>1424</v>
      </c>
      <c r="B104" s="445">
        <f t="shared" ref="B104:V104" si="42">+B103+B102</f>
        <v>0</v>
      </c>
      <c r="C104" s="444">
        <f t="shared" si="42"/>
        <v>0</v>
      </c>
      <c r="D104" s="444">
        <f t="shared" si="42"/>
        <v>0</v>
      </c>
      <c r="E104" s="444">
        <f t="shared" si="42"/>
        <v>0</v>
      </c>
      <c r="F104" s="444">
        <f t="shared" si="42"/>
        <v>0</v>
      </c>
      <c r="G104" s="444">
        <f t="shared" si="42"/>
        <v>0</v>
      </c>
      <c r="H104" s="444">
        <f t="shared" si="42"/>
        <v>0</v>
      </c>
      <c r="I104" s="444">
        <f t="shared" si="42"/>
        <v>0</v>
      </c>
      <c r="J104" s="444">
        <f t="shared" si="42"/>
        <v>0</v>
      </c>
      <c r="K104" s="444">
        <f t="shared" si="42"/>
        <v>0</v>
      </c>
      <c r="L104" s="444">
        <f t="shared" si="42"/>
        <v>0</v>
      </c>
      <c r="M104" s="444">
        <f t="shared" si="42"/>
        <v>0</v>
      </c>
      <c r="N104" s="444">
        <f t="shared" si="42"/>
        <v>0</v>
      </c>
      <c r="O104" s="444">
        <f t="shared" si="42"/>
        <v>0</v>
      </c>
      <c r="P104" s="444">
        <f t="shared" si="42"/>
        <v>0</v>
      </c>
      <c r="Q104" s="444">
        <f t="shared" si="42"/>
        <v>0</v>
      </c>
      <c r="R104" s="444">
        <f t="shared" si="42"/>
        <v>0</v>
      </c>
      <c r="S104" s="444">
        <f t="shared" si="42"/>
        <v>0</v>
      </c>
      <c r="T104" s="444">
        <f t="shared" si="42"/>
        <v>0</v>
      </c>
      <c r="U104" s="444">
        <f t="shared" si="42"/>
        <v>0</v>
      </c>
      <c r="V104" s="444">
        <f t="shared" si="42"/>
        <v>0</v>
      </c>
    </row>
    <row r="105" spans="1:22" x14ac:dyDescent="0.15">
      <c r="B105" s="439"/>
      <c r="C105" s="439"/>
      <c r="D105" s="439"/>
      <c r="E105" s="439"/>
      <c r="F105" s="439"/>
      <c r="G105" s="439"/>
      <c r="H105" s="439"/>
      <c r="I105" s="439"/>
      <c r="J105" s="439"/>
      <c r="K105" s="439"/>
      <c r="L105" s="439"/>
      <c r="M105" s="439"/>
      <c r="N105" s="439"/>
      <c r="O105" s="439"/>
      <c r="P105" s="439"/>
      <c r="Q105" s="439"/>
      <c r="R105" s="439"/>
      <c r="S105" s="439"/>
      <c r="T105" s="439"/>
      <c r="U105" s="439"/>
      <c r="V105" s="439"/>
    </row>
    <row r="106" spans="1:22" x14ac:dyDescent="0.15">
      <c r="B106" s="439"/>
      <c r="C106" s="439"/>
      <c r="D106" s="439"/>
      <c r="E106" s="439"/>
      <c r="F106" s="439"/>
      <c r="G106" s="439"/>
      <c r="H106" s="439"/>
      <c r="I106" s="439"/>
      <c r="J106" s="439"/>
      <c r="K106" s="439"/>
      <c r="L106" s="439"/>
      <c r="M106" s="439"/>
      <c r="N106" s="439"/>
      <c r="O106" s="439"/>
      <c r="P106" s="439"/>
      <c r="Q106" s="439"/>
      <c r="R106" s="439"/>
      <c r="S106" s="439"/>
      <c r="T106" s="439"/>
      <c r="U106" s="439"/>
      <c r="V106" s="439"/>
    </row>
    <row r="107" spans="1:22" x14ac:dyDescent="0.15">
      <c r="B107" s="439"/>
      <c r="C107" s="439"/>
      <c r="D107" s="439"/>
      <c r="E107" s="439"/>
      <c r="F107" s="439"/>
      <c r="G107" s="439"/>
      <c r="H107" s="439"/>
      <c r="I107" s="439"/>
      <c r="J107" s="439"/>
      <c r="K107" s="439"/>
      <c r="L107" s="439"/>
      <c r="M107" s="439"/>
      <c r="N107" s="439"/>
      <c r="O107" s="439"/>
      <c r="P107" s="439"/>
      <c r="Q107" s="439"/>
      <c r="R107" s="439"/>
      <c r="S107" s="439"/>
      <c r="T107" s="439"/>
      <c r="U107" s="439"/>
      <c r="V107" s="439"/>
    </row>
    <row r="108" spans="1:22" x14ac:dyDescent="0.15">
      <c r="B108" s="439"/>
      <c r="C108" s="439"/>
      <c r="D108" s="439"/>
      <c r="E108" s="439"/>
      <c r="F108" s="439"/>
      <c r="G108" s="439"/>
      <c r="H108" s="439"/>
      <c r="I108" s="439"/>
      <c r="J108" s="439"/>
      <c r="K108" s="439"/>
      <c r="L108" s="439"/>
      <c r="M108" s="439"/>
      <c r="N108" s="439"/>
      <c r="O108" s="439"/>
      <c r="P108" s="439"/>
      <c r="Q108" s="439"/>
      <c r="R108" s="439"/>
      <c r="S108" s="439"/>
      <c r="T108" s="439"/>
      <c r="U108" s="439"/>
      <c r="V108" s="439"/>
    </row>
    <row r="109" spans="1:22" x14ac:dyDescent="0.15">
      <c r="B109" s="439"/>
      <c r="C109" s="439"/>
      <c r="D109" s="439"/>
      <c r="E109" s="439"/>
      <c r="F109" s="439"/>
      <c r="G109" s="439"/>
      <c r="H109" s="439"/>
      <c r="I109" s="439"/>
      <c r="J109" s="439"/>
      <c r="K109" s="439"/>
      <c r="L109" s="439"/>
      <c r="M109" s="439"/>
      <c r="N109" s="439"/>
      <c r="O109" s="439"/>
      <c r="P109" s="439"/>
      <c r="Q109" s="439"/>
      <c r="R109" s="439"/>
      <c r="S109" s="439"/>
      <c r="T109" s="439"/>
      <c r="U109" s="439"/>
      <c r="V109" s="439"/>
    </row>
    <row r="110" spans="1:22" x14ac:dyDescent="0.15">
      <c r="A110" s="438" t="s">
        <v>1425</v>
      </c>
      <c r="B110" s="450" t="str">
        <f t="shared" ref="B110:V110" si="43">B79</f>
        <v>N</v>
      </c>
      <c r="C110" s="450" t="str">
        <f t="shared" si="43"/>
        <v>N+1</v>
      </c>
      <c r="D110" s="450" t="str">
        <f t="shared" si="43"/>
        <v>N+2</v>
      </c>
      <c r="E110" s="450" t="str">
        <f t="shared" si="43"/>
        <v>N+3</v>
      </c>
      <c r="F110" s="450" t="str">
        <f t="shared" si="43"/>
        <v>N+4</v>
      </c>
      <c r="G110" s="450" t="str">
        <f t="shared" si="43"/>
        <v>N+5</v>
      </c>
      <c r="H110" s="450" t="str">
        <f t="shared" si="43"/>
        <v>N+6</v>
      </c>
      <c r="I110" s="450" t="str">
        <f t="shared" si="43"/>
        <v>N+7</v>
      </c>
      <c r="J110" s="450" t="str">
        <f t="shared" si="43"/>
        <v>N+8</v>
      </c>
      <c r="K110" s="450" t="str">
        <f t="shared" si="43"/>
        <v>N+9</v>
      </c>
      <c r="L110" s="450" t="str">
        <f t="shared" si="43"/>
        <v>N+10</v>
      </c>
      <c r="M110" s="450" t="str">
        <f t="shared" si="43"/>
        <v>N+11</v>
      </c>
      <c r="N110" s="450" t="str">
        <f t="shared" si="43"/>
        <v>N+12</v>
      </c>
      <c r="O110" s="450" t="str">
        <f t="shared" si="43"/>
        <v>N+13</v>
      </c>
      <c r="P110" s="450" t="str">
        <f t="shared" si="43"/>
        <v>N+14</v>
      </c>
      <c r="Q110" s="450" t="str">
        <f t="shared" si="43"/>
        <v>N+15</v>
      </c>
      <c r="R110" s="450" t="str">
        <f t="shared" si="43"/>
        <v>N+16</v>
      </c>
      <c r="S110" s="450" t="str">
        <f t="shared" si="43"/>
        <v>N+17</v>
      </c>
      <c r="T110" s="450" t="str">
        <f t="shared" si="43"/>
        <v>N+18</v>
      </c>
      <c r="U110" s="450" t="str">
        <f t="shared" si="43"/>
        <v>N+19</v>
      </c>
      <c r="V110" s="450" t="str">
        <f t="shared" si="43"/>
        <v>N+20</v>
      </c>
    </row>
    <row r="111" spans="1:22" x14ac:dyDescent="0.15">
      <c r="B111" s="439"/>
      <c r="C111" s="439"/>
      <c r="D111" s="439"/>
      <c r="E111" s="439"/>
      <c r="F111" s="439"/>
      <c r="G111" s="439"/>
      <c r="H111" s="439"/>
      <c r="I111" s="439"/>
      <c r="J111" s="439"/>
      <c r="K111" s="439"/>
      <c r="L111" s="439"/>
      <c r="M111" s="439"/>
      <c r="N111" s="439"/>
      <c r="O111" s="439"/>
      <c r="P111" s="439"/>
      <c r="Q111" s="439"/>
      <c r="R111" s="439"/>
      <c r="S111" s="439"/>
      <c r="T111" s="439"/>
      <c r="U111" s="439"/>
      <c r="V111" s="439"/>
    </row>
    <row r="112" spans="1:22" x14ac:dyDescent="0.15">
      <c r="A112" s="438" t="s">
        <v>251</v>
      </c>
      <c r="B112" s="449">
        <v>0</v>
      </c>
      <c r="C112" s="448">
        <f t="shared" ref="C112:V112" si="44">+C91</f>
        <v>-751.5</v>
      </c>
      <c r="D112" s="448">
        <f t="shared" si="44"/>
        <v>442.97500000000002</v>
      </c>
      <c r="E112" s="448">
        <f t="shared" si="44"/>
        <v>862.22500000000002</v>
      </c>
      <c r="F112" s="448">
        <f t="shared" si="44"/>
        <v>948.02500000000009</v>
      </c>
      <c r="G112" s="448">
        <f t="shared" si="44"/>
        <v>1036.4250000000002</v>
      </c>
      <c r="H112" s="448">
        <f t="shared" si="44"/>
        <v>1121.575</v>
      </c>
      <c r="I112" s="448">
        <f t="shared" si="44"/>
        <v>1121.575</v>
      </c>
      <c r="J112" s="448">
        <f t="shared" si="44"/>
        <v>1121.575</v>
      </c>
      <c r="K112" s="448">
        <f t="shared" si="44"/>
        <v>1121.575</v>
      </c>
      <c r="L112" s="448">
        <f t="shared" si="44"/>
        <v>1121.575</v>
      </c>
      <c r="M112" s="448">
        <f t="shared" si="44"/>
        <v>1425.45</v>
      </c>
      <c r="N112" s="448">
        <f t="shared" si="44"/>
        <v>1425.45</v>
      </c>
      <c r="O112" s="448">
        <f t="shared" si="44"/>
        <v>1425.45</v>
      </c>
      <c r="P112" s="448">
        <f t="shared" si="44"/>
        <v>1425.45</v>
      </c>
      <c r="Q112" s="448">
        <f t="shared" si="44"/>
        <v>1425.45</v>
      </c>
      <c r="R112" s="448">
        <f t="shared" si="44"/>
        <v>1425.45</v>
      </c>
      <c r="S112" s="448">
        <f t="shared" si="44"/>
        <v>1425.45</v>
      </c>
      <c r="T112" s="448">
        <f t="shared" si="44"/>
        <v>1425.45</v>
      </c>
      <c r="U112" s="448">
        <f t="shared" si="44"/>
        <v>1425.45</v>
      </c>
      <c r="V112" s="448">
        <f t="shared" si="44"/>
        <v>1425.45</v>
      </c>
    </row>
    <row r="113" spans="1:22" x14ac:dyDescent="0.15">
      <c r="A113" s="438" t="s">
        <v>178</v>
      </c>
      <c r="B113" s="447">
        <v>0</v>
      </c>
      <c r="C113" s="446">
        <f t="shared" ref="C113:V113" si="45">-C87</f>
        <v>0</v>
      </c>
      <c r="D113" s="446">
        <f t="shared" si="45"/>
        <v>0</v>
      </c>
      <c r="E113" s="446">
        <f t="shared" si="45"/>
        <v>0</v>
      </c>
      <c r="F113" s="446">
        <f t="shared" si="45"/>
        <v>0</v>
      </c>
      <c r="G113" s="446">
        <f t="shared" si="45"/>
        <v>0</v>
      </c>
      <c r="H113" s="446">
        <f t="shared" si="45"/>
        <v>0</v>
      </c>
      <c r="I113" s="446">
        <f t="shared" si="45"/>
        <v>0</v>
      </c>
      <c r="J113" s="446">
        <f t="shared" si="45"/>
        <v>0</v>
      </c>
      <c r="K113" s="446">
        <f t="shared" si="45"/>
        <v>0</v>
      </c>
      <c r="L113" s="446">
        <f t="shared" si="45"/>
        <v>0</v>
      </c>
      <c r="M113" s="446">
        <f t="shared" si="45"/>
        <v>0</v>
      </c>
      <c r="N113" s="446">
        <f t="shared" si="45"/>
        <v>0</v>
      </c>
      <c r="O113" s="446">
        <f t="shared" si="45"/>
        <v>0</v>
      </c>
      <c r="P113" s="446">
        <f t="shared" si="45"/>
        <v>0</v>
      </c>
      <c r="Q113" s="446">
        <f t="shared" si="45"/>
        <v>0</v>
      </c>
      <c r="R113" s="446">
        <f t="shared" si="45"/>
        <v>0</v>
      </c>
      <c r="S113" s="446">
        <f t="shared" si="45"/>
        <v>0</v>
      </c>
      <c r="T113" s="446">
        <f t="shared" si="45"/>
        <v>0</v>
      </c>
      <c r="U113" s="446">
        <f t="shared" si="45"/>
        <v>0</v>
      </c>
      <c r="V113" s="446">
        <f t="shared" si="45"/>
        <v>0</v>
      </c>
    </row>
    <row r="114" spans="1:22" x14ac:dyDescent="0.15">
      <c r="A114" s="459" t="s">
        <v>1426</v>
      </c>
      <c r="B114" s="445">
        <v>0</v>
      </c>
      <c r="C114" s="444">
        <f t="shared" ref="C114:V114" si="46">+C113+C112</f>
        <v>-751.5</v>
      </c>
      <c r="D114" s="444">
        <f t="shared" si="46"/>
        <v>442.97500000000002</v>
      </c>
      <c r="E114" s="444">
        <f t="shared" si="46"/>
        <v>862.22500000000002</v>
      </c>
      <c r="F114" s="444">
        <f t="shared" si="46"/>
        <v>948.02500000000009</v>
      </c>
      <c r="G114" s="444">
        <f t="shared" si="46"/>
        <v>1036.4250000000002</v>
      </c>
      <c r="H114" s="444">
        <f t="shared" si="46"/>
        <v>1121.575</v>
      </c>
      <c r="I114" s="444">
        <f t="shared" si="46"/>
        <v>1121.575</v>
      </c>
      <c r="J114" s="444">
        <f t="shared" si="46"/>
        <v>1121.575</v>
      </c>
      <c r="K114" s="444">
        <f t="shared" si="46"/>
        <v>1121.575</v>
      </c>
      <c r="L114" s="444">
        <f t="shared" si="46"/>
        <v>1121.575</v>
      </c>
      <c r="M114" s="444">
        <f t="shared" si="46"/>
        <v>1425.45</v>
      </c>
      <c r="N114" s="444">
        <f t="shared" si="46"/>
        <v>1425.45</v>
      </c>
      <c r="O114" s="444">
        <f t="shared" si="46"/>
        <v>1425.45</v>
      </c>
      <c r="P114" s="444">
        <f t="shared" si="46"/>
        <v>1425.45</v>
      </c>
      <c r="Q114" s="444">
        <f t="shared" si="46"/>
        <v>1425.45</v>
      </c>
      <c r="R114" s="444">
        <f t="shared" si="46"/>
        <v>1425.45</v>
      </c>
      <c r="S114" s="444">
        <f t="shared" si="46"/>
        <v>1425.45</v>
      </c>
      <c r="T114" s="444">
        <f t="shared" si="46"/>
        <v>1425.45</v>
      </c>
      <c r="U114" s="444">
        <f t="shared" si="46"/>
        <v>1425.45</v>
      </c>
      <c r="V114" s="444">
        <f t="shared" si="46"/>
        <v>1425.45</v>
      </c>
    </row>
    <row r="115" spans="1:22" x14ac:dyDescent="0.15">
      <c r="A115" s="438" t="s">
        <v>967</v>
      </c>
      <c r="B115" s="447">
        <v>0</v>
      </c>
      <c r="C115" s="446">
        <f t="shared" ref="C115:V115" si="47">+B100-C100</f>
        <v>0</v>
      </c>
      <c r="D115" s="446">
        <f t="shared" si="47"/>
        <v>0</v>
      </c>
      <c r="E115" s="446">
        <f t="shared" si="47"/>
        <v>0</v>
      </c>
      <c r="F115" s="446">
        <f t="shared" si="47"/>
        <v>0</v>
      </c>
      <c r="G115" s="446">
        <f t="shared" si="47"/>
        <v>0</v>
      </c>
      <c r="H115" s="446">
        <f t="shared" si="47"/>
        <v>0</v>
      </c>
      <c r="I115" s="446">
        <f t="shared" si="47"/>
        <v>0</v>
      </c>
      <c r="J115" s="446">
        <f t="shared" si="47"/>
        <v>0</v>
      </c>
      <c r="K115" s="446">
        <f t="shared" si="47"/>
        <v>0</v>
      </c>
      <c r="L115" s="446">
        <f t="shared" si="47"/>
        <v>0</v>
      </c>
      <c r="M115" s="446">
        <f t="shared" si="47"/>
        <v>0</v>
      </c>
      <c r="N115" s="446">
        <f t="shared" si="47"/>
        <v>0</v>
      </c>
      <c r="O115" s="446">
        <f t="shared" si="47"/>
        <v>0</v>
      </c>
      <c r="P115" s="446">
        <f t="shared" si="47"/>
        <v>0</v>
      </c>
      <c r="Q115" s="446">
        <f t="shared" si="47"/>
        <v>0</v>
      </c>
      <c r="R115" s="446">
        <f t="shared" si="47"/>
        <v>0</v>
      </c>
      <c r="S115" s="446">
        <f t="shared" si="47"/>
        <v>0</v>
      </c>
      <c r="T115" s="446">
        <f t="shared" si="47"/>
        <v>0</v>
      </c>
      <c r="U115" s="446">
        <f t="shared" si="47"/>
        <v>0</v>
      </c>
      <c r="V115" s="446">
        <f t="shared" si="47"/>
        <v>0</v>
      </c>
    </row>
    <row r="116" spans="1:22" x14ac:dyDescent="0.15">
      <c r="A116" s="459" t="s">
        <v>1427</v>
      </c>
      <c r="B116" s="445">
        <v>0</v>
      </c>
      <c r="C116" s="444">
        <f t="shared" ref="C116:V116" si="48">+SUM(C114:C115)</f>
        <v>-751.5</v>
      </c>
      <c r="D116" s="444">
        <f t="shared" si="48"/>
        <v>442.97500000000002</v>
      </c>
      <c r="E116" s="444">
        <f t="shared" si="48"/>
        <v>862.22500000000002</v>
      </c>
      <c r="F116" s="444">
        <f t="shared" si="48"/>
        <v>948.02500000000009</v>
      </c>
      <c r="G116" s="444">
        <f t="shared" si="48"/>
        <v>1036.4250000000002</v>
      </c>
      <c r="H116" s="444">
        <f t="shared" si="48"/>
        <v>1121.575</v>
      </c>
      <c r="I116" s="444">
        <f t="shared" si="48"/>
        <v>1121.575</v>
      </c>
      <c r="J116" s="444">
        <f t="shared" si="48"/>
        <v>1121.575</v>
      </c>
      <c r="K116" s="444">
        <f t="shared" si="48"/>
        <v>1121.575</v>
      </c>
      <c r="L116" s="444">
        <f t="shared" si="48"/>
        <v>1121.575</v>
      </c>
      <c r="M116" s="444">
        <f t="shared" si="48"/>
        <v>1425.45</v>
      </c>
      <c r="N116" s="444">
        <f t="shared" si="48"/>
        <v>1425.45</v>
      </c>
      <c r="O116" s="444">
        <f t="shared" si="48"/>
        <v>1425.45</v>
      </c>
      <c r="P116" s="444">
        <f t="shared" si="48"/>
        <v>1425.45</v>
      </c>
      <c r="Q116" s="444">
        <f t="shared" si="48"/>
        <v>1425.45</v>
      </c>
      <c r="R116" s="444">
        <f t="shared" si="48"/>
        <v>1425.45</v>
      </c>
      <c r="S116" s="444">
        <f t="shared" si="48"/>
        <v>1425.45</v>
      </c>
      <c r="T116" s="444">
        <f t="shared" si="48"/>
        <v>1425.45</v>
      </c>
      <c r="U116" s="444">
        <f t="shared" si="48"/>
        <v>1425.45</v>
      </c>
      <c r="V116" s="444">
        <f t="shared" si="48"/>
        <v>1425.45</v>
      </c>
    </row>
    <row r="117" spans="1:22" x14ac:dyDescent="0.15">
      <c r="A117" s="438" t="s">
        <v>28</v>
      </c>
      <c r="B117" s="447">
        <f>-B99</f>
        <v>0</v>
      </c>
      <c r="C117" s="446">
        <v>0</v>
      </c>
      <c r="D117" s="446">
        <v>0</v>
      </c>
      <c r="E117" s="446">
        <v>0</v>
      </c>
      <c r="F117" s="446">
        <v>0</v>
      </c>
      <c r="G117" s="446">
        <v>0</v>
      </c>
      <c r="H117" s="446">
        <v>0</v>
      </c>
      <c r="I117" s="446">
        <v>0</v>
      </c>
      <c r="J117" s="446">
        <v>0</v>
      </c>
      <c r="K117" s="446">
        <v>0</v>
      </c>
      <c r="L117" s="446">
        <v>0</v>
      </c>
      <c r="M117" s="446">
        <v>0</v>
      </c>
      <c r="N117" s="446">
        <v>0</v>
      </c>
      <c r="O117" s="446">
        <v>0</v>
      </c>
      <c r="P117" s="446">
        <v>0</v>
      </c>
      <c r="Q117" s="446">
        <v>0</v>
      </c>
      <c r="R117" s="446">
        <v>0</v>
      </c>
      <c r="S117" s="446">
        <v>0</v>
      </c>
      <c r="T117" s="446">
        <v>0</v>
      </c>
      <c r="U117" s="446">
        <v>0</v>
      </c>
      <c r="V117" s="446">
        <v>0</v>
      </c>
    </row>
    <row r="118" spans="1:22" x14ac:dyDescent="0.15">
      <c r="A118" s="459" t="s">
        <v>1429</v>
      </c>
      <c r="B118" s="445">
        <f t="shared" ref="B118:V118" si="49">+B116+B117</f>
        <v>0</v>
      </c>
      <c r="C118" s="444">
        <f t="shared" si="49"/>
        <v>-751.5</v>
      </c>
      <c r="D118" s="444">
        <f t="shared" si="49"/>
        <v>442.97500000000002</v>
      </c>
      <c r="E118" s="444">
        <f t="shared" si="49"/>
        <v>862.22500000000002</v>
      </c>
      <c r="F118" s="444">
        <f t="shared" si="49"/>
        <v>948.02500000000009</v>
      </c>
      <c r="G118" s="444">
        <f t="shared" si="49"/>
        <v>1036.4250000000002</v>
      </c>
      <c r="H118" s="444">
        <f t="shared" si="49"/>
        <v>1121.575</v>
      </c>
      <c r="I118" s="444">
        <f t="shared" si="49"/>
        <v>1121.575</v>
      </c>
      <c r="J118" s="444">
        <f t="shared" si="49"/>
        <v>1121.575</v>
      </c>
      <c r="K118" s="444">
        <f t="shared" si="49"/>
        <v>1121.575</v>
      </c>
      <c r="L118" s="444">
        <f t="shared" si="49"/>
        <v>1121.575</v>
      </c>
      <c r="M118" s="444">
        <f t="shared" si="49"/>
        <v>1425.45</v>
      </c>
      <c r="N118" s="444">
        <f t="shared" si="49"/>
        <v>1425.45</v>
      </c>
      <c r="O118" s="444">
        <f t="shared" si="49"/>
        <v>1425.45</v>
      </c>
      <c r="P118" s="444">
        <f t="shared" si="49"/>
        <v>1425.45</v>
      </c>
      <c r="Q118" s="444">
        <f t="shared" si="49"/>
        <v>1425.45</v>
      </c>
      <c r="R118" s="444">
        <f t="shared" si="49"/>
        <v>1425.45</v>
      </c>
      <c r="S118" s="444">
        <f t="shared" si="49"/>
        <v>1425.45</v>
      </c>
      <c r="T118" s="444">
        <f t="shared" si="49"/>
        <v>1425.45</v>
      </c>
      <c r="U118" s="444">
        <f t="shared" si="49"/>
        <v>1425.45</v>
      </c>
      <c r="V118" s="444">
        <f t="shared" si="49"/>
        <v>1425.45</v>
      </c>
    </row>
    <row r="119" spans="1:22" ht="14" x14ac:dyDescent="0.15">
      <c r="A119" s="458" t="s">
        <v>1430</v>
      </c>
      <c r="B119" s="445">
        <f t="shared" ref="B119:V119" si="50">-B118</f>
        <v>0</v>
      </c>
      <c r="C119" s="444">
        <f t="shared" si="50"/>
        <v>751.5</v>
      </c>
      <c r="D119" s="444">
        <f t="shared" si="50"/>
        <v>-442.97500000000002</v>
      </c>
      <c r="E119" s="444">
        <f t="shared" si="50"/>
        <v>-862.22500000000002</v>
      </c>
      <c r="F119" s="444">
        <f t="shared" si="50"/>
        <v>-948.02500000000009</v>
      </c>
      <c r="G119" s="444">
        <f t="shared" si="50"/>
        <v>-1036.4250000000002</v>
      </c>
      <c r="H119" s="444">
        <f t="shared" si="50"/>
        <v>-1121.575</v>
      </c>
      <c r="I119" s="444">
        <f t="shared" si="50"/>
        <v>-1121.575</v>
      </c>
      <c r="J119" s="444">
        <f t="shared" si="50"/>
        <v>-1121.575</v>
      </c>
      <c r="K119" s="444">
        <f t="shared" si="50"/>
        <v>-1121.575</v>
      </c>
      <c r="L119" s="444">
        <f t="shared" si="50"/>
        <v>-1121.575</v>
      </c>
      <c r="M119" s="444">
        <f t="shared" si="50"/>
        <v>-1425.45</v>
      </c>
      <c r="N119" s="444">
        <f t="shared" si="50"/>
        <v>-1425.45</v>
      </c>
      <c r="O119" s="444">
        <f t="shared" si="50"/>
        <v>-1425.45</v>
      </c>
      <c r="P119" s="444">
        <f t="shared" si="50"/>
        <v>-1425.45</v>
      </c>
      <c r="Q119" s="444">
        <f t="shared" si="50"/>
        <v>-1425.45</v>
      </c>
      <c r="R119" s="444">
        <f t="shared" si="50"/>
        <v>-1425.45</v>
      </c>
      <c r="S119" s="444">
        <f t="shared" si="50"/>
        <v>-1425.45</v>
      </c>
      <c r="T119" s="444">
        <f t="shared" si="50"/>
        <v>-1425.45</v>
      </c>
      <c r="U119" s="444">
        <f t="shared" si="50"/>
        <v>-1425.45</v>
      </c>
      <c r="V119" s="444">
        <f t="shared" si="50"/>
        <v>-1425.45</v>
      </c>
    </row>
    <row r="120" spans="1:22" x14ac:dyDescent="0.15">
      <c r="A120" s="439"/>
      <c r="B120" s="439"/>
      <c r="C120" s="439"/>
      <c r="D120" s="439"/>
      <c r="E120" s="439"/>
      <c r="F120" s="439"/>
      <c r="G120" s="439"/>
      <c r="H120" s="439"/>
      <c r="I120" s="439"/>
      <c r="J120" s="439"/>
      <c r="K120" s="439"/>
      <c r="L120" s="439"/>
      <c r="M120" s="439"/>
      <c r="N120" s="439"/>
      <c r="O120" s="439"/>
      <c r="P120" s="439"/>
      <c r="Q120" s="439"/>
      <c r="R120" s="439"/>
      <c r="S120" s="439"/>
      <c r="T120" s="439"/>
      <c r="U120" s="439"/>
      <c r="V120" s="439"/>
    </row>
    <row r="121" spans="1:22" x14ac:dyDescent="0.15">
      <c r="A121" s="439"/>
      <c r="B121" s="439"/>
      <c r="C121" s="439"/>
      <c r="D121" s="441"/>
      <c r="E121" s="439"/>
      <c r="F121" s="439"/>
      <c r="G121" s="439"/>
      <c r="H121" s="439"/>
      <c r="I121" s="439"/>
      <c r="J121" s="439"/>
      <c r="K121" s="439"/>
      <c r="L121" s="439"/>
      <c r="M121" s="439"/>
      <c r="N121" s="439"/>
      <c r="O121" s="439"/>
      <c r="P121" s="439"/>
      <c r="Q121" s="439"/>
      <c r="R121" s="439"/>
      <c r="S121" s="439"/>
      <c r="T121" s="439"/>
      <c r="U121" s="439"/>
      <c r="V121" s="439"/>
    </row>
    <row r="122" spans="1:22" x14ac:dyDescent="0.15">
      <c r="A122" s="439"/>
      <c r="B122" s="439"/>
      <c r="C122" s="439"/>
      <c r="D122" s="439"/>
      <c r="E122" s="439"/>
      <c r="F122" s="439"/>
      <c r="G122" s="439"/>
      <c r="H122" s="439"/>
      <c r="I122" s="439"/>
      <c r="J122" s="439"/>
      <c r="K122" s="439"/>
      <c r="L122" s="439"/>
      <c r="M122" s="439"/>
      <c r="N122" s="439"/>
      <c r="O122" s="439"/>
      <c r="P122" s="439"/>
      <c r="Q122" s="439"/>
      <c r="R122" s="439"/>
      <c r="S122" s="439"/>
      <c r="T122" s="439"/>
      <c r="U122" s="439"/>
      <c r="V122" s="439"/>
    </row>
    <row r="123" spans="1:22" x14ac:dyDescent="0.15">
      <c r="A123" s="438" t="s">
        <v>1431</v>
      </c>
      <c r="B123" s="439"/>
      <c r="C123" s="439"/>
      <c r="D123" s="441"/>
      <c r="E123" s="439"/>
      <c r="F123" s="439"/>
      <c r="G123" s="439"/>
      <c r="H123" s="439"/>
      <c r="I123" s="439"/>
      <c r="J123" s="439"/>
      <c r="K123" s="439"/>
      <c r="L123" s="439"/>
      <c r="M123" s="439"/>
      <c r="N123" s="439"/>
      <c r="O123" s="439"/>
      <c r="P123" s="439"/>
      <c r="Q123" s="439"/>
      <c r="R123" s="439"/>
      <c r="S123" s="439"/>
      <c r="T123" s="439"/>
      <c r="U123" s="439"/>
      <c r="V123" s="439"/>
    </row>
    <row r="124" spans="1:22" x14ac:dyDescent="0.15">
      <c r="A124" s="438" t="s">
        <v>1432</v>
      </c>
      <c r="B124" s="443">
        <v>2.5000000000000001E-2</v>
      </c>
      <c r="C124" s="439"/>
      <c r="D124" s="439"/>
      <c r="E124" s="439"/>
      <c r="F124" s="439"/>
      <c r="G124" s="439"/>
      <c r="H124" s="439"/>
      <c r="I124" s="439"/>
      <c r="J124" s="439"/>
      <c r="K124" s="439"/>
      <c r="L124" s="439"/>
      <c r="M124" s="439"/>
      <c r="N124" s="439"/>
      <c r="O124" s="439"/>
      <c r="P124" s="439"/>
      <c r="Q124" s="439"/>
      <c r="R124" s="439"/>
      <c r="S124" s="439"/>
      <c r="T124" s="439"/>
      <c r="U124" s="439"/>
      <c r="V124" s="439"/>
    </row>
    <row r="125" spans="1:22" x14ac:dyDescent="0.15">
      <c r="B125" s="439"/>
      <c r="C125" s="439"/>
      <c r="D125" s="441"/>
      <c r="E125" s="439"/>
      <c r="F125" s="439"/>
      <c r="G125" s="439"/>
      <c r="H125" s="439"/>
      <c r="I125" s="439"/>
      <c r="J125" s="439"/>
      <c r="K125" s="439"/>
      <c r="L125" s="439"/>
      <c r="M125" s="439"/>
      <c r="N125" s="439"/>
      <c r="O125" s="439"/>
      <c r="P125" s="439"/>
      <c r="Q125" s="439"/>
      <c r="R125" s="439"/>
      <c r="S125" s="439"/>
      <c r="T125" s="439"/>
      <c r="U125" s="439"/>
      <c r="V125" s="439"/>
    </row>
    <row r="126" spans="1:22" x14ac:dyDescent="0.15">
      <c r="B126" s="439"/>
      <c r="C126" s="439"/>
      <c r="D126" s="439"/>
      <c r="E126" s="439"/>
      <c r="F126" s="439"/>
      <c r="G126" s="439"/>
      <c r="H126" s="439"/>
      <c r="I126" s="439"/>
      <c r="J126" s="439"/>
      <c r="K126" s="439"/>
      <c r="L126" s="439"/>
      <c r="M126" s="439"/>
      <c r="N126" s="439"/>
      <c r="O126" s="439"/>
      <c r="P126" s="439"/>
      <c r="Q126" s="439"/>
      <c r="R126" s="439"/>
      <c r="S126" s="439"/>
      <c r="T126" s="439"/>
      <c r="U126" s="439"/>
      <c r="V126" s="439"/>
    </row>
    <row r="127" spans="1:22" x14ac:dyDescent="0.15">
      <c r="A127" s="438" t="s">
        <v>1428</v>
      </c>
      <c r="B127" s="439"/>
      <c r="C127" s="439"/>
      <c r="D127" s="441"/>
      <c r="E127" s="439"/>
      <c r="F127" s="439"/>
      <c r="G127" s="439"/>
      <c r="H127" s="439"/>
      <c r="I127" s="439"/>
      <c r="J127" s="439"/>
      <c r="K127" s="439"/>
      <c r="L127" s="439"/>
      <c r="M127" s="439"/>
      <c r="N127" s="439"/>
      <c r="O127" s="439"/>
      <c r="P127" s="439"/>
      <c r="Q127" s="439"/>
      <c r="R127" s="439"/>
      <c r="S127" s="439"/>
      <c r="T127" s="439"/>
      <c r="U127" s="439"/>
      <c r="V127" s="439"/>
    </row>
    <row r="128" spans="1:22" x14ac:dyDescent="0.15">
      <c r="B128" s="439"/>
      <c r="C128" s="439"/>
      <c r="D128" s="439"/>
      <c r="E128" s="439"/>
      <c r="F128" s="439"/>
      <c r="G128" s="439"/>
      <c r="H128" s="439"/>
      <c r="I128" s="439"/>
      <c r="J128" s="439"/>
      <c r="K128" s="439"/>
      <c r="L128" s="439"/>
      <c r="M128" s="439"/>
      <c r="N128" s="439"/>
      <c r="O128" s="439"/>
      <c r="P128" s="439"/>
      <c r="Q128" s="439"/>
      <c r="R128" s="439"/>
      <c r="S128" s="439"/>
      <c r="T128" s="439"/>
      <c r="U128" s="439"/>
      <c r="V128" s="439"/>
    </row>
    <row r="129" spans="1:22" x14ac:dyDescent="0.15">
      <c r="B129" s="439"/>
      <c r="C129" s="439"/>
      <c r="D129" s="439"/>
      <c r="E129" s="439"/>
      <c r="F129" s="439"/>
      <c r="G129" s="439"/>
      <c r="H129" s="439"/>
      <c r="I129" s="439"/>
      <c r="J129" s="439"/>
      <c r="K129" s="439"/>
      <c r="L129" s="439"/>
      <c r="M129" s="439"/>
      <c r="N129" s="439"/>
      <c r="O129" s="439"/>
      <c r="P129" s="439"/>
      <c r="Q129" s="439"/>
      <c r="R129" s="439"/>
      <c r="S129" s="439"/>
      <c r="T129" s="439"/>
      <c r="U129" s="439"/>
      <c r="V129" s="439"/>
    </row>
    <row r="130" spans="1:22" x14ac:dyDescent="0.15">
      <c r="A130" s="438" t="s">
        <v>48</v>
      </c>
      <c r="B130" s="440">
        <f t="shared" ref="B130:V130" si="51">B88*(1-$B$20)+B117+B113+B115</f>
        <v>0</v>
      </c>
      <c r="C130" s="440">
        <f t="shared" si="51"/>
        <v>-184.6</v>
      </c>
      <c r="D130" s="440">
        <f t="shared" si="51"/>
        <v>746.85</v>
      </c>
      <c r="E130" s="440">
        <f t="shared" si="51"/>
        <v>1166.1000000000001</v>
      </c>
      <c r="F130" s="440">
        <f t="shared" si="51"/>
        <v>1251.9000000000001</v>
      </c>
      <c r="G130" s="440">
        <f t="shared" si="51"/>
        <v>1340.3</v>
      </c>
      <c r="H130" s="440">
        <f t="shared" si="51"/>
        <v>1425.45</v>
      </c>
      <c r="I130" s="440">
        <f t="shared" si="51"/>
        <v>1425.45</v>
      </c>
      <c r="J130" s="440">
        <f t="shared" si="51"/>
        <v>1425.45</v>
      </c>
      <c r="K130" s="440">
        <f t="shared" si="51"/>
        <v>1425.45</v>
      </c>
      <c r="L130" s="440">
        <f t="shared" si="51"/>
        <v>1425.45</v>
      </c>
      <c r="M130" s="440">
        <f t="shared" si="51"/>
        <v>1425.45</v>
      </c>
      <c r="N130" s="440">
        <f t="shared" si="51"/>
        <v>1425.45</v>
      </c>
      <c r="O130" s="440">
        <f t="shared" si="51"/>
        <v>1425.45</v>
      </c>
      <c r="P130" s="440">
        <f t="shared" si="51"/>
        <v>1425.45</v>
      </c>
      <c r="Q130" s="440">
        <f t="shared" si="51"/>
        <v>1425.45</v>
      </c>
      <c r="R130" s="440">
        <f t="shared" si="51"/>
        <v>1425.45</v>
      </c>
      <c r="S130" s="440">
        <f t="shared" si="51"/>
        <v>1425.45</v>
      </c>
      <c r="T130" s="440">
        <f t="shared" si="51"/>
        <v>1425.45</v>
      </c>
      <c r="U130" s="440">
        <f t="shared" si="51"/>
        <v>1425.45</v>
      </c>
      <c r="V130" s="440">
        <f t="shared" si="51"/>
        <v>1425.45</v>
      </c>
    </row>
    <row r="131" spans="1:22" x14ac:dyDescent="0.15">
      <c r="A131" s="438" t="s">
        <v>835</v>
      </c>
      <c r="B131" s="442">
        <v>7.0000000000000007E-2</v>
      </c>
      <c r="C131" s="439"/>
      <c r="D131" s="441"/>
      <c r="E131" s="439"/>
      <c r="F131" s="439"/>
      <c r="G131" s="439"/>
      <c r="H131" s="439"/>
      <c r="I131" s="439"/>
      <c r="J131" s="439"/>
      <c r="K131" s="439"/>
      <c r="L131" s="439"/>
      <c r="M131" s="439"/>
      <c r="N131" s="439"/>
      <c r="O131" s="439"/>
      <c r="P131" s="439"/>
      <c r="Q131" s="439"/>
      <c r="R131" s="439"/>
      <c r="S131" s="439"/>
      <c r="T131" s="439"/>
      <c r="U131" s="439"/>
      <c r="V131" s="439"/>
    </row>
    <row r="132" spans="1:22" x14ac:dyDescent="0.15">
      <c r="A132" s="438" t="s">
        <v>1075</v>
      </c>
      <c r="B132" s="440">
        <f>NPV(B131,B130:V130)</f>
        <v>11774.751745318743</v>
      </c>
      <c r="C132" s="439"/>
      <c r="D132" s="439"/>
      <c r="E132" s="439"/>
      <c r="F132" s="439"/>
      <c r="G132" s="439"/>
      <c r="H132" s="439"/>
      <c r="I132" s="439"/>
      <c r="J132" s="439"/>
      <c r="K132" s="439"/>
      <c r="L132" s="439"/>
      <c r="M132" s="439"/>
      <c r="N132" s="439"/>
      <c r="O132" s="439"/>
      <c r="P132" s="439"/>
      <c r="Q132" s="439"/>
      <c r="R132" s="439"/>
      <c r="S132" s="439"/>
      <c r="T132" s="439"/>
      <c r="U132" s="439"/>
      <c r="V132" s="439"/>
    </row>
  </sheetData>
  <mergeCells count="3">
    <mergeCell ref="A1:H1"/>
    <mergeCell ref="A75:H75"/>
    <mergeCell ref="A73:H73"/>
  </mergeCells>
  <pageMargins left="0.7" right="0.7" top="0.75" bottom="0.75" header="0.3" footer="0.3"/>
  <pageSetup paperSize="9"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0"/>
  <sheetViews>
    <sheetView showGridLines="0" workbookViewId="0">
      <selection activeCell="C20" sqref="C20"/>
    </sheetView>
  </sheetViews>
  <sheetFormatPr baseColWidth="10" defaultColWidth="10.6640625" defaultRowHeight="14" x14ac:dyDescent="0.15"/>
  <cols>
    <col min="1" max="1" width="52.5" style="26" bestFit="1" customWidth="1"/>
    <col min="2" max="4" width="16.83203125" style="26" customWidth="1"/>
    <col min="5" max="16384" width="10.6640625" style="26"/>
  </cols>
  <sheetData>
    <row r="1" spans="1:4" x14ac:dyDescent="0.15">
      <c r="A1" s="45" t="s">
        <v>460</v>
      </c>
    </row>
    <row r="2" spans="1:4" x14ac:dyDescent="0.15">
      <c r="B2" s="97">
        <v>2014</v>
      </c>
      <c r="C2" s="97">
        <f>B2+1</f>
        <v>2015</v>
      </c>
      <c r="D2" s="97">
        <f>C2+1</f>
        <v>2016</v>
      </c>
    </row>
    <row r="3" spans="1:4" x14ac:dyDescent="0.15">
      <c r="A3" s="58" t="s">
        <v>251</v>
      </c>
      <c r="B3" s="98">
        <f>' Chapter 3'!B80</f>
        <v>14.1</v>
      </c>
      <c r="C3" s="98">
        <f>' Chapter 3'!C80</f>
        <v>16.5</v>
      </c>
      <c r="D3" s="98">
        <f>' Chapter 3'!D80</f>
        <v>16.899999999999999</v>
      </c>
    </row>
    <row r="4" spans="1:4" x14ac:dyDescent="0.15">
      <c r="A4" s="72" t="s">
        <v>252</v>
      </c>
      <c r="B4" s="83">
        <f>' Chapter 3'!B75</f>
        <v>6</v>
      </c>
      <c r="C4" s="83">
        <f>' Chapter 3'!C75</f>
        <v>6</v>
      </c>
      <c r="D4" s="83">
        <f>' Chapter 3'!D75</f>
        <v>6</v>
      </c>
    </row>
    <row r="5" spans="1:4" x14ac:dyDescent="0.15">
      <c r="A5" s="72" t="s">
        <v>255</v>
      </c>
      <c r="B5" s="83">
        <v>0</v>
      </c>
      <c r="C5" s="83">
        <v>0</v>
      </c>
      <c r="D5" s="83">
        <v>0</v>
      </c>
    </row>
    <row r="6" spans="1:4" x14ac:dyDescent="0.15">
      <c r="A6" s="58" t="s">
        <v>253</v>
      </c>
      <c r="B6" s="98">
        <f>B3+B4+B5</f>
        <v>20.100000000000001</v>
      </c>
      <c r="C6" s="98">
        <f>C3+C4+C5</f>
        <v>22.5</v>
      </c>
      <c r="D6" s="98">
        <f>D3+D4+D5</f>
        <v>22.9</v>
      </c>
    </row>
    <row r="7" spans="1:4" x14ac:dyDescent="0.15">
      <c r="A7" s="72" t="s">
        <v>256</v>
      </c>
      <c r="B7" s="83">
        <f>'Chapter 4'!C9-'Chapter 4'!B9</f>
        <v>36</v>
      </c>
      <c r="C7" s="83">
        <f>'Chapter 4'!D9-'Chapter 4'!C9</f>
        <v>0</v>
      </c>
      <c r="D7" s="83">
        <f>'Chapter 4'!E9-'Chapter 4'!D9</f>
        <v>0</v>
      </c>
    </row>
    <row r="8" spans="1:4" x14ac:dyDescent="0.15">
      <c r="A8" s="58" t="s">
        <v>257</v>
      </c>
      <c r="B8" s="98">
        <f>B6-B7</f>
        <v>-15.899999999999999</v>
      </c>
      <c r="C8" s="98">
        <f>C6-C7</f>
        <v>22.5</v>
      </c>
      <c r="D8" s="98">
        <f>D6-D7</f>
        <v>22.9</v>
      </c>
    </row>
    <row r="9" spans="1:4" x14ac:dyDescent="0.15">
      <c r="A9" s="72" t="s">
        <v>262</v>
      </c>
      <c r="B9" s="83">
        <f>-'Chapter 2'!C34</f>
        <v>30</v>
      </c>
      <c r="C9" s="83">
        <f>'Chapter 2'!D34</f>
        <v>0</v>
      </c>
      <c r="D9" s="83">
        <f>'Chapter 2'!E34</f>
        <v>0</v>
      </c>
    </row>
    <row r="10" spans="1:4" x14ac:dyDescent="0.15">
      <c r="A10" s="72" t="s">
        <v>261</v>
      </c>
      <c r="B10" s="83">
        <v>0</v>
      </c>
      <c r="C10" s="83">
        <v>0</v>
      </c>
      <c r="D10" s="83">
        <v>0</v>
      </c>
    </row>
    <row r="11" spans="1:4" x14ac:dyDescent="0.15">
      <c r="A11" s="58" t="s">
        <v>970</v>
      </c>
      <c r="B11" s="98">
        <f>B8-B9+B10</f>
        <v>-45.9</v>
      </c>
      <c r="C11" s="98">
        <f>C8-C9+C10</f>
        <v>22.5</v>
      </c>
      <c r="D11" s="98">
        <f>D8-D9+D10</f>
        <v>22.9</v>
      </c>
    </row>
    <row r="12" spans="1:4" x14ac:dyDescent="0.15">
      <c r="A12" s="72" t="s">
        <v>259</v>
      </c>
      <c r="B12" s="83">
        <v>0</v>
      </c>
      <c r="C12" s="83">
        <v>0</v>
      </c>
      <c r="D12" s="83">
        <v>0</v>
      </c>
    </row>
    <row r="13" spans="1:4" x14ac:dyDescent="0.15">
      <c r="A13" s="72" t="s">
        <v>260</v>
      </c>
      <c r="B13" s="83">
        <f>'Chapter 4'!B15</f>
        <v>0</v>
      </c>
      <c r="C13" s="83">
        <f>'Chapter 4'!C15</f>
        <v>0</v>
      </c>
      <c r="D13" s="83">
        <f>'Chapter 4'!D15</f>
        <v>0</v>
      </c>
    </row>
    <row r="14" spans="1:4" x14ac:dyDescent="0.15">
      <c r="A14" s="58" t="s">
        <v>258</v>
      </c>
      <c r="B14" s="98">
        <f>B3+B4+B5-B7-B9+B10+B12-B13</f>
        <v>-45.9</v>
      </c>
      <c r="C14" s="98">
        <f>C3+C4+C5-C7-C9+C10+C12-C13</f>
        <v>22.5</v>
      </c>
      <c r="D14" s="98">
        <f>D3+D4+D5-D7-D9+D10+D12-D13</f>
        <v>22.9</v>
      </c>
    </row>
    <row r="15" spans="1:4" x14ac:dyDescent="0.15">
      <c r="B15" s="83"/>
      <c r="C15" s="83"/>
      <c r="D15" s="83"/>
    </row>
    <row r="16" spans="1:4" x14ac:dyDescent="0.15">
      <c r="A16" s="26" t="s">
        <v>266</v>
      </c>
      <c r="B16" s="84">
        <v>4</v>
      </c>
      <c r="C16" s="84">
        <f>-('Chapter 4'!D16-'Chapter 4'!C16)</f>
        <v>4</v>
      </c>
      <c r="D16" s="84">
        <f>-('Chapter 4'!E16-'Chapter 4'!D16)</f>
        <v>4</v>
      </c>
    </row>
    <row r="17" spans="1:4" x14ac:dyDescent="0.15">
      <c r="A17" s="72" t="s">
        <v>263</v>
      </c>
      <c r="B17" s="84">
        <v>20</v>
      </c>
      <c r="C17" s="83">
        <v>0</v>
      </c>
      <c r="D17" s="83">
        <v>0</v>
      </c>
    </row>
    <row r="18" spans="1:4" x14ac:dyDescent="0.15">
      <c r="A18" s="72" t="s">
        <v>264</v>
      </c>
      <c r="B18" s="83">
        <v>0</v>
      </c>
      <c r="C18" s="83">
        <v>0</v>
      </c>
      <c r="D18" s="83">
        <v>0</v>
      </c>
    </row>
    <row r="19" spans="1:4" x14ac:dyDescent="0.15">
      <c r="A19" s="72" t="s">
        <v>265</v>
      </c>
      <c r="B19" s="83">
        <f>'Chapter 4'!C18-'Chapter 4'!B18</f>
        <v>-29.9</v>
      </c>
      <c r="C19" s="83">
        <f>'Chapter 4'!D18-'Chapter 4'!C18</f>
        <v>18.5</v>
      </c>
      <c r="D19" s="83">
        <f>'Chapter 4'!E18-'Chapter 4'!D18</f>
        <v>18.899999999999999</v>
      </c>
    </row>
    <row r="20" spans="1:4" x14ac:dyDescent="0.15">
      <c r="A20" s="58" t="s">
        <v>258</v>
      </c>
      <c r="B20" s="98">
        <f>B16-B17+B18+B19</f>
        <v>-45.9</v>
      </c>
      <c r="C20" s="98">
        <f>C16-C17+C18+C19</f>
        <v>22.5</v>
      </c>
      <c r="D20" s="98">
        <f>D16-D17+D18+D19</f>
        <v>22.9</v>
      </c>
    </row>
  </sheetData>
  <phoneticPr fontId="4" type="noConversion"/>
  <pageMargins left="0.7" right="0.7" top="0.75" bottom="0.75" header="0.3" footer="0.3"/>
  <pageSetup paperSize="9" scale="75" fitToHeight="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5"/>
  <sheetViews>
    <sheetView showGridLines="0" workbookViewId="0">
      <selection activeCell="C20" sqref="C20"/>
    </sheetView>
  </sheetViews>
  <sheetFormatPr baseColWidth="10" defaultColWidth="10.6640625" defaultRowHeight="14" x14ac:dyDescent="0.15"/>
  <cols>
    <col min="1" max="1" width="33.33203125" style="26" customWidth="1"/>
    <col min="2" max="4" width="5.5" style="26" customWidth="1"/>
    <col min="5" max="5" width="24.5" style="26" customWidth="1"/>
    <col min="6" max="8" width="5.5" style="26" customWidth="1"/>
    <col min="9" max="16384" width="10.6640625" style="26"/>
  </cols>
  <sheetData>
    <row r="1" spans="1:7" x14ac:dyDescent="0.15">
      <c r="A1" s="45" t="s">
        <v>272</v>
      </c>
    </row>
    <row r="2" spans="1:7" x14ac:dyDescent="0.15">
      <c r="A2" s="58" t="s">
        <v>269</v>
      </c>
      <c r="B2" s="97" t="s">
        <v>39</v>
      </c>
      <c r="C2" s="97" t="s">
        <v>267</v>
      </c>
      <c r="D2" s="97"/>
      <c r="E2" s="58" t="s">
        <v>270</v>
      </c>
      <c r="F2" s="97" t="s">
        <v>39</v>
      </c>
      <c r="G2" s="97" t="s">
        <v>267</v>
      </c>
    </row>
    <row r="3" spans="1:7" ht="15" x14ac:dyDescent="0.15">
      <c r="A3" s="47" t="s">
        <v>273</v>
      </c>
      <c r="B3" s="63">
        <v>100</v>
      </c>
      <c r="C3" s="63">
        <v>30</v>
      </c>
      <c r="E3" s="26" t="s">
        <v>278</v>
      </c>
      <c r="F3" s="63">
        <v>40</v>
      </c>
      <c r="G3" s="63">
        <v>10</v>
      </c>
    </row>
    <row r="4" spans="1:7" ht="12.75" customHeight="1" x14ac:dyDescent="0.15">
      <c r="A4" s="100" t="s">
        <v>274</v>
      </c>
      <c r="B4" s="63"/>
      <c r="C4" s="63"/>
      <c r="E4" s="26" t="s">
        <v>279</v>
      </c>
      <c r="F4" s="63">
        <v>80</v>
      </c>
      <c r="G4" s="63">
        <v>10</v>
      </c>
    </row>
    <row r="5" spans="1:7" ht="15" x14ac:dyDescent="0.15">
      <c r="A5" s="70" t="s">
        <v>276</v>
      </c>
      <c r="B5" s="63">
        <v>16</v>
      </c>
      <c r="C5" s="63"/>
      <c r="E5" s="26" t="s">
        <v>197</v>
      </c>
      <c r="F5" s="63">
        <v>10</v>
      </c>
      <c r="G5" s="63">
        <v>5</v>
      </c>
    </row>
    <row r="6" spans="1:7" ht="15" x14ac:dyDescent="0.15">
      <c r="A6" s="70" t="s">
        <v>275</v>
      </c>
      <c r="B6" s="63">
        <v>5</v>
      </c>
      <c r="C6" s="63"/>
      <c r="E6" s="26" t="s">
        <v>280</v>
      </c>
      <c r="F6" s="63">
        <v>191</v>
      </c>
      <c r="G6" s="63">
        <v>75</v>
      </c>
    </row>
    <row r="7" spans="1:7" ht="15" x14ac:dyDescent="0.15">
      <c r="A7" s="47" t="s">
        <v>277</v>
      </c>
      <c r="B7" s="63">
        <v>200</v>
      </c>
      <c r="C7" s="63">
        <v>70</v>
      </c>
    </row>
    <row r="8" spans="1:7" x14ac:dyDescent="0.15">
      <c r="A8" s="58" t="s">
        <v>962</v>
      </c>
      <c r="B8" s="58">
        <f>SUM(B3:B7)</f>
        <v>321</v>
      </c>
      <c r="C8" s="58">
        <f>SUM(C3:C7)</f>
        <v>100</v>
      </c>
      <c r="D8" s="58"/>
      <c r="E8" s="58" t="s">
        <v>962</v>
      </c>
      <c r="F8" s="58">
        <f>SUM(F3:F7)</f>
        <v>321</v>
      </c>
      <c r="G8" s="58">
        <f>SUM(G3:G7)</f>
        <v>100</v>
      </c>
    </row>
    <row r="10" spans="1:7" x14ac:dyDescent="0.15">
      <c r="A10" s="58" t="s">
        <v>271</v>
      </c>
      <c r="B10" s="97" t="s">
        <v>39</v>
      </c>
      <c r="C10" s="97" t="s">
        <v>267</v>
      </c>
      <c r="D10" s="97"/>
    </row>
    <row r="11" spans="1:7" x14ac:dyDescent="0.15">
      <c r="A11" s="72" t="s">
        <v>284</v>
      </c>
      <c r="B11" s="63">
        <v>200</v>
      </c>
      <c r="C11" s="63">
        <v>90</v>
      </c>
    </row>
    <row r="12" spans="1:7" x14ac:dyDescent="0.15">
      <c r="A12" s="72" t="s">
        <v>283</v>
      </c>
      <c r="B12" s="63">
        <v>100</v>
      </c>
      <c r="C12" s="63">
        <v>50</v>
      </c>
    </row>
    <row r="13" spans="1:7" x14ac:dyDescent="0.15">
      <c r="A13" s="72" t="s">
        <v>286</v>
      </c>
      <c r="B13" s="63"/>
      <c r="C13" s="63">
        <v>2</v>
      </c>
    </row>
    <row r="14" spans="1:7" x14ac:dyDescent="0.15">
      <c r="A14" s="72" t="s">
        <v>287</v>
      </c>
      <c r="B14" s="63">
        <v>25</v>
      </c>
      <c r="C14" s="63">
        <v>20</v>
      </c>
    </row>
    <row r="15" spans="1:7" x14ac:dyDescent="0.15">
      <c r="A15" s="72" t="s">
        <v>288</v>
      </c>
      <c r="B15" s="63">
        <v>40</v>
      </c>
      <c r="C15" s="63">
        <v>8</v>
      </c>
    </row>
    <row r="16" spans="1:7" x14ac:dyDescent="0.15">
      <c r="A16" s="72" t="s">
        <v>289</v>
      </c>
      <c r="B16" s="63">
        <v>10</v>
      </c>
      <c r="C16" s="63">
        <v>1</v>
      </c>
    </row>
    <row r="17" spans="1:7" x14ac:dyDescent="0.15">
      <c r="A17" s="72" t="s">
        <v>290</v>
      </c>
      <c r="B17" s="63">
        <v>3</v>
      </c>
      <c r="C17" s="63"/>
    </row>
    <row r="18" spans="1:7" x14ac:dyDescent="0.15">
      <c r="A18" s="72" t="s">
        <v>291</v>
      </c>
      <c r="B18" s="63">
        <v>9</v>
      </c>
      <c r="C18" s="63"/>
    </row>
    <row r="19" spans="1:7" x14ac:dyDescent="0.15">
      <c r="A19" s="72" t="s">
        <v>292</v>
      </c>
      <c r="B19" s="63">
        <v>2</v>
      </c>
      <c r="C19" s="63"/>
    </row>
    <row r="20" spans="1:7" x14ac:dyDescent="0.15">
      <c r="A20" s="72" t="s">
        <v>293</v>
      </c>
      <c r="B20" s="63">
        <v>11</v>
      </c>
      <c r="C20" s="63">
        <v>4</v>
      </c>
    </row>
    <row r="21" spans="1:7" x14ac:dyDescent="0.15">
      <c r="A21" s="101" t="s">
        <v>294</v>
      </c>
      <c r="B21" s="58">
        <f>B11-B12-B13-B14-B15-B16+B17-B18+B19-B20</f>
        <v>10</v>
      </c>
      <c r="C21" s="58">
        <f>C11-C12-C13-C14-C15-C16+C17-C18+C19-C20</f>
        <v>5</v>
      </c>
      <c r="D21" s="58"/>
    </row>
    <row r="24" spans="1:7" x14ac:dyDescent="0.15">
      <c r="A24" s="97" t="s">
        <v>268</v>
      </c>
    </row>
    <row r="25" spans="1:7" x14ac:dyDescent="0.15">
      <c r="A25" s="58" t="s">
        <v>269</v>
      </c>
      <c r="B25" s="66">
        <v>0.8</v>
      </c>
      <c r="C25" s="66">
        <v>0.2</v>
      </c>
      <c r="E25" s="58" t="s">
        <v>270</v>
      </c>
      <c r="F25" s="102">
        <f>B25</f>
        <v>0.8</v>
      </c>
      <c r="G25" s="102">
        <f>C25</f>
        <v>0.2</v>
      </c>
    </row>
    <row r="26" spans="1:7" ht="15" x14ac:dyDescent="0.15">
      <c r="A26" s="47" t="s">
        <v>273</v>
      </c>
      <c r="B26" s="26">
        <f>B3+C3</f>
        <v>130</v>
      </c>
      <c r="C26" s="26">
        <f>B3</f>
        <v>100</v>
      </c>
      <c r="E26" s="26" t="s">
        <v>278</v>
      </c>
      <c r="F26" s="26">
        <f>F3</f>
        <v>40</v>
      </c>
      <c r="G26" s="26">
        <f>F3</f>
        <v>40</v>
      </c>
    </row>
    <row r="27" spans="1:7" x14ac:dyDescent="0.15">
      <c r="A27" s="100" t="s">
        <v>274</v>
      </c>
      <c r="B27" s="26">
        <f>B28+B29</f>
        <v>5</v>
      </c>
      <c r="C27" s="26">
        <f>C28+C29</f>
        <v>10</v>
      </c>
      <c r="E27" s="26" t="s">
        <v>279</v>
      </c>
    </row>
    <row r="28" spans="1:7" ht="15" x14ac:dyDescent="0.15">
      <c r="A28" s="70" t="s">
        <v>276</v>
      </c>
      <c r="C28" s="26">
        <f>SUM(G3:G5)*C25</f>
        <v>5</v>
      </c>
      <c r="E28" s="70" t="s">
        <v>282</v>
      </c>
      <c r="F28" s="26">
        <f>F4+G4+G3-B5-F29</f>
        <v>80</v>
      </c>
      <c r="G28" s="26">
        <f>F4+C25*SUM(G3:G4)-B5</f>
        <v>68</v>
      </c>
    </row>
    <row r="29" spans="1:7" ht="15" x14ac:dyDescent="0.15">
      <c r="A29" s="70" t="s">
        <v>275</v>
      </c>
      <c r="B29" s="26">
        <f>B6</f>
        <v>5</v>
      </c>
      <c r="C29" s="26">
        <f>B6</f>
        <v>5</v>
      </c>
      <c r="E29" s="70" t="s">
        <v>281</v>
      </c>
      <c r="F29" s="26">
        <f>(G4+G3)*(1-B25)</f>
        <v>3.9999999999999991</v>
      </c>
    </row>
    <row r="30" spans="1:7" ht="15" x14ac:dyDescent="0.15">
      <c r="A30" s="47" t="s">
        <v>277</v>
      </c>
      <c r="B30" s="26">
        <f>B7+C7</f>
        <v>270</v>
      </c>
      <c r="C30" s="26">
        <f>B7</f>
        <v>200</v>
      </c>
      <c r="E30" s="26" t="s">
        <v>197</v>
      </c>
    </row>
    <row r="31" spans="1:7" ht="15" x14ac:dyDescent="0.15">
      <c r="A31" s="47"/>
      <c r="E31" s="70" t="s">
        <v>282</v>
      </c>
      <c r="F31" s="26">
        <f>F5+G5*B25</f>
        <v>14</v>
      </c>
      <c r="G31" s="26">
        <f>F5+G5*C25</f>
        <v>11</v>
      </c>
    </row>
    <row r="32" spans="1:7" ht="15" x14ac:dyDescent="0.15">
      <c r="A32" s="47"/>
      <c r="E32" s="70" t="s">
        <v>281</v>
      </c>
      <c r="F32" s="26">
        <f>G5*(1-B25)</f>
        <v>0.99999999999999978</v>
      </c>
    </row>
    <row r="33" spans="1:8" x14ac:dyDescent="0.15">
      <c r="A33" s="47"/>
      <c r="E33" s="26" t="s">
        <v>280</v>
      </c>
      <c r="F33" s="26">
        <f>F6+G6</f>
        <v>266</v>
      </c>
      <c r="G33" s="26">
        <f>F6</f>
        <v>191</v>
      </c>
    </row>
    <row r="34" spans="1:8" x14ac:dyDescent="0.15">
      <c r="A34" s="58" t="s">
        <v>962</v>
      </c>
      <c r="B34" s="58">
        <f>B26+B27+B30</f>
        <v>405</v>
      </c>
      <c r="C34" s="58">
        <f>C26+C27+C30</f>
        <v>310</v>
      </c>
      <c r="E34" s="58" t="s">
        <v>962</v>
      </c>
      <c r="F34" s="58">
        <f>SUM(F26:F33)</f>
        <v>405</v>
      </c>
      <c r="G34" s="58">
        <f>SUM(G26:G33)</f>
        <v>310</v>
      </c>
    </row>
    <row r="35" spans="1:8" x14ac:dyDescent="0.15">
      <c r="E35" s="58"/>
      <c r="F35" s="58"/>
      <c r="G35" s="58"/>
      <c r="H35" s="58"/>
    </row>
    <row r="36" spans="1:8" x14ac:dyDescent="0.15">
      <c r="E36" s="58"/>
      <c r="F36" s="58"/>
      <c r="G36" s="58"/>
      <c r="H36" s="58"/>
    </row>
    <row r="37" spans="1:8" x14ac:dyDescent="0.15">
      <c r="E37" s="58"/>
      <c r="F37" s="58"/>
      <c r="G37" s="58"/>
      <c r="H37" s="58"/>
    </row>
    <row r="38" spans="1:8" x14ac:dyDescent="0.15">
      <c r="E38" s="58"/>
      <c r="F38" s="58"/>
      <c r="G38" s="58"/>
      <c r="H38" s="58"/>
    </row>
    <row r="40" spans="1:8" x14ac:dyDescent="0.15">
      <c r="A40" s="58" t="s">
        <v>271</v>
      </c>
      <c r="B40" s="102">
        <f>B25</f>
        <v>0.8</v>
      </c>
      <c r="C40" s="102">
        <f>C25</f>
        <v>0.2</v>
      </c>
    </row>
    <row r="41" spans="1:8" x14ac:dyDescent="0.15">
      <c r="A41" s="72" t="s">
        <v>284</v>
      </c>
      <c r="B41" s="26">
        <f>B11+C11</f>
        <v>290</v>
      </c>
      <c r="C41" s="26">
        <f t="shared" ref="C41:C47" si="0">B11</f>
        <v>200</v>
      </c>
    </row>
    <row r="42" spans="1:8" x14ac:dyDescent="0.15">
      <c r="A42" s="72" t="s">
        <v>283</v>
      </c>
      <c r="B42" s="26">
        <f t="shared" ref="B42:B47" si="1">B12+C12</f>
        <v>150</v>
      </c>
      <c r="C42" s="26">
        <f t="shared" si="0"/>
        <v>100</v>
      </c>
    </row>
    <row r="43" spans="1:8" x14ac:dyDescent="0.15">
      <c r="A43" s="72" t="s">
        <v>286</v>
      </c>
      <c r="B43" s="26">
        <f t="shared" si="1"/>
        <v>2</v>
      </c>
      <c r="C43" s="26">
        <f t="shared" si="0"/>
        <v>0</v>
      </c>
    </row>
    <row r="44" spans="1:8" x14ac:dyDescent="0.15">
      <c r="A44" s="72" t="s">
        <v>287</v>
      </c>
      <c r="B44" s="26">
        <f t="shared" si="1"/>
        <v>45</v>
      </c>
      <c r="C44" s="26">
        <f t="shared" si="0"/>
        <v>25</v>
      </c>
    </row>
    <row r="45" spans="1:8" x14ac:dyDescent="0.15">
      <c r="A45" s="72" t="s">
        <v>288</v>
      </c>
      <c r="B45" s="26">
        <f t="shared" si="1"/>
        <v>48</v>
      </c>
      <c r="C45" s="26">
        <f t="shared" si="0"/>
        <v>40</v>
      </c>
    </row>
    <row r="46" spans="1:8" x14ac:dyDescent="0.15">
      <c r="A46" s="72" t="s">
        <v>289</v>
      </c>
      <c r="B46" s="26">
        <f t="shared" si="1"/>
        <v>11</v>
      </c>
      <c r="C46" s="26">
        <f t="shared" si="0"/>
        <v>10</v>
      </c>
    </row>
    <row r="47" spans="1:8" x14ac:dyDescent="0.15">
      <c r="A47" s="72" t="s">
        <v>290</v>
      </c>
      <c r="B47" s="26">
        <f t="shared" si="1"/>
        <v>3</v>
      </c>
      <c r="C47" s="26">
        <f t="shared" si="0"/>
        <v>3</v>
      </c>
    </row>
    <row r="48" spans="1:8" ht="15" x14ac:dyDescent="0.15">
      <c r="A48" s="103" t="s">
        <v>295</v>
      </c>
      <c r="C48" s="26">
        <f>C21*C25</f>
        <v>1</v>
      </c>
    </row>
    <row r="49" spans="1:4" x14ac:dyDescent="0.15">
      <c r="A49" s="72" t="s">
        <v>291</v>
      </c>
      <c r="B49" s="26">
        <f>B18+C18</f>
        <v>9</v>
      </c>
      <c r="C49" s="26">
        <f>B18</f>
        <v>9</v>
      </c>
    </row>
    <row r="50" spans="1:4" x14ac:dyDescent="0.15">
      <c r="A50" s="72" t="s">
        <v>292</v>
      </c>
      <c r="B50" s="26">
        <f>B19+C19</f>
        <v>2</v>
      </c>
      <c r="C50" s="26">
        <f>B19</f>
        <v>2</v>
      </c>
    </row>
    <row r="51" spans="1:4" x14ac:dyDescent="0.15">
      <c r="A51" s="72" t="s">
        <v>293</v>
      </c>
      <c r="B51" s="26">
        <f>B20+C20</f>
        <v>15</v>
      </c>
      <c r="C51" s="26">
        <f>B20</f>
        <v>11</v>
      </c>
    </row>
    <row r="52" spans="1:4" x14ac:dyDescent="0.15">
      <c r="A52" s="101" t="s">
        <v>294</v>
      </c>
      <c r="B52" s="58">
        <f>B41-B42-B43-B44-B45-B46+B47-B49+B50-B51</f>
        <v>15</v>
      </c>
      <c r="C52" s="58">
        <f>C41-C42-C43-C44-C45-C46+C47+C48-C49+C50-C51</f>
        <v>11</v>
      </c>
    </row>
    <row r="53" spans="1:4" x14ac:dyDescent="0.15">
      <c r="A53" s="72" t="s">
        <v>296</v>
      </c>
      <c r="B53" s="26">
        <f>(1-B25)*C21</f>
        <v>0.99999999999999978</v>
      </c>
    </row>
    <row r="54" spans="1:4" x14ac:dyDescent="0.15">
      <c r="A54" s="101" t="s">
        <v>297</v>
      </c>
      <c r="B54" s="58">
        <f>B52-B53</f>
        <v>14</v>
      </c>
      <c r="C54" s="58"/>
      <c r="D54" s="58"/>
    </row>
    <row r="55" spans="1:4" x14ac:dyDescent="0.15">
      <c r="A55" s="70"/>
    </row>
  </sheetData>
  <phoneticPr fontId="4" type="noConversion"/>
  <pageMargins left="0.7" right="0.7" top="0.75" bottom="0.75" header="0.3" footer="0.3"/>
  <pageSetup paperSize="9" scale="76" fitToHeight="0"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37"/>
  <sheetViews>
    <sheetView showGridLines="0" workbookViewId="0">
      <selection activeCell="C20" sqref="C20"/>
    </sheetView>
  </sheetViews>
  <sheetFormatPr baseColWidth="10" defaultColWidth="10.6640625" defaultRowHeight="14" x14ac:dyDescent="0.15"/>
  <cols>
    <col min="1" max="1" width="37.33203125" style="26" bestFit="1" customWidth="1"/>
    <col min="2" max="5" width="12.5" style="26" bestFit="1" customWidth="1"/>
    <col min="6" max="6" width="13.5" style="26" bestFit="1" customWidth="1"/>
    <col min="7" max="16384" width="10.6640625" style="26"/>
  </cols>
  <sheetData>
    <row r="1" spans="1:7" x14ac:dyDescent="0.15">
      <c r="A1" s="45" t="s">
        <v>315</v>
      </c>
      <c r="F1" s="108"/>
      <c r="G1" s="108"/>
    </row>
    <row r="2" spans="1:7" x14ac:dyDescent="0.15">
      <c r="B2" s="97" t="s">
        <v>1314</v>
      </c>
      <c r="C2" s="97" t="s">
        <v>1315</v>
      </c>
      <c r="D2" s="97" t="s">
        <v>1316</v>
      </c>
      <c r="F2" s="97"/>
      <c r="G2" s="97"/>
    </row>
    <row r="3" spans="1:7" x14ac:dyDescent="0.15">
      <c r="A3" s="26" t="s">
        <v>227</v>
      </c>
      <c r="B3" s="64">
        <v>256</v>
      </c>
      <c r="C3" s="64">
        <v>326</v>
      </c>
      <c r="D3" s="64">
        <v>422</v>
      </c>
      <c r="E3" s="50"/>
      <c r="F3" s="50"/>
    </row>
    <row r="4" spans="1:7" x14ac:dyDescent="0.15">
      <c r="A4" s="26" t="s">
        <v>298</v>
      </c>
      <c r="B4" s="64">
        <v>78</v>
      </c>
      <c r="C4" s="64">
        <v>104</v>
      </c>
      <c r="D4" s="64">
        <v>143</v>
      </c>
      <c r="E4" s="102"/>
      <c r="F4" s="50"/>
      <c r="G4" s="50"/>
    </row>
    <row r="5" spans="1:7" x14ac:dyDescent="0.15">
      <c r="A5" s="26" t="s">
        <v>299</v>
      </c>
      <c r="B5" s="64">
        <v>102</v>
      </c>
      <c r="C5" s="64">
        <v>139</v>
      </c>
      <c r="D5" s="64">
        <v>190</v>
      </c>
      <c r="E5" s="50"/>
      <c r="F5" s="50"/>
      <c r="G5" s="50"/>
    </row>
    <row r="6" spans="1:7" x14ac:dyDescent="0.15">
      <c r="A6" s="26" t="s">
        <v>193</v>
      </c>
      <c r="B6" s="64">
        <v>41</v>
      </c>
      <c r="C6" s="64">
        <v>52</v>
      </c>
      <c r="D6" s="64">
        <v>59</v>
      </c>
      <c r="E6" s="50"/>
      <c r="F6" s="50"/>
    </row>
    <row r="7" spans="1:7" x14ac:dyDescent="0.15">
      <c r="A7" s="26" t="s">
        <v>251</v>
      </c>
      <c r="B7" s="64">
        <v>23</v>
      </c>
      <c r="C7" s="64">
        <v>27</v>
      </c>
      <c r="D7" s="64">
        <v>30</v>
      </c>
      <c r="E7" s="50"/>
      <c r="F7" s="50"/>
    </row>
    <row r="8" spans="1:7" x14ac:dyDescent="0.15">
      <c r="A8" s="26" t="s">
        <v>300</v>
      </c>
      <c r="B8" s="64">
        <v>119</v>
      </c>
      <c r="C8" s="64">
        <v>129</v>
      </c>
      <c r="D8" s="64">
        <v>152</v>
      </c>
      <c r="E8" s="50"/>
      <c r="F8" s="50"/>
    </row>
    <row r="9" spans="1:7" x14ac:dyDescent="0.15">
      <c r="A9" s="26" t="s">
        <v>301</v>
      </c>
      <c r="B9" s="64">
        <v>42</v>
      </c>
      <c r="C9" s="64">
        <v>125</v>
      </c>
      <c r="D9" s="64">
        <v>150</v>
      </c>
      <c r="E9" s="50"/>
      <c r="F9" s="50"/>
    </row>
    <row r="11" spans="1:7" x14ac:dyDescent="0.15">
      <c r="A11" s="109" t="s">
        <v>495</v>
      </c>
    </row>
    <row r="12" spans="1:7" x14ac:dyDescent="0.15">
      <c r="A12" s="109"/>
    </row>
    <row r="13" spans="1:7" x14ac:dyDescent="0.15">
      <c r="A13" s="26" t="s">
        <v>302</v>
      </c>
      <c r="C13" s="102">
        <f>C3/B3-1</f>
        <v>0.2734375</v>
      </c>
      <c r="D13" s="102">
        <f>D3/C3-1</f>
        <v>0.29447852760736204</v>
      </c>
    </row>
    <row r="14" spans="1:7" x14ac:dyDescent="0.15">
      <c r="A14" s="26" t="s">
        <v>303</v>
      </c>
      <c r="B14" s="102">
        <f>B6/B3</f>
        <v>0.16015625</v>
      </c>
      <c r="C14" s="102">
        <f>C6/C3</f>
        <v>0.15950920245398773</v>
      </c>
      <c r="D14" s="102">
        <f>D6/D3</f>
        <v>0.13981042654028436</v>
      </c>
    </row>
    <row r="15" spans="1:7" x14ac:dyDescent="0.15">
      <c r="A15" s="26" t="s">
        <v>304</v>
      </c>
      <c r="B15" s="102">
        <f>B7/B3</f>
        <v>8.984375E-2</v>
      </c>
      <c r="C15" s="102">
        <f>C7/C3</f>
        <v>8.2822085889570546E-2</v>
      </c>
      <c r="D15" s="102">
        <f>D7/D3</f>
        <v>7.1090047393364927E-2</v>
      </c>
    </row>
    <row r="16" spans="1:7" x14ac:dyDescent="0.15">
      <c r="A16" s="26" t="s">
        <v>307</v>
      </c>
      <c r="B16" s="102">
        <f>B6*0.6/(B8+B9)</f>
        <v>0.15279503105590062</v>
      </c>
      <c r="C16" s="102">
        <f>C6*0.6/(C8+C9)</f>
        <v>0.12283464566929134</v>
      </c>
      <c r="D16" s="102">
        <f>D6*0.6/(D8+D9)</f>
        <v>0.11721854304635761</v>
      </c>
    </row>
    <row r="17" spans="1:8" x14ac:dyDescent="0.15">
      <c r="A17" s="26" t="s">
        <v>305</v>
      </c>
      <c r="B17" s="110">
        <f>B8/B9</f>
        <v>2.8333333333333335</v>
      </c>
      <c r="C17" s="110">
        <f>C8/C9</f>
        <v>1.032</v>
      </c>
      <c r="D17" s="110">
        <f>D8/D9</f>
        <v>1.0133333333333334</v>
      </c>
    </row>
    <row r="18" spans="1:8" x14ac:dyDescent="0.15">
      <c r="A18" s="26" t="s">
        <v>308</v>
      </c>
      <c r="B18" s="110">
        <f>B7/B8</f>
        <v>0.19327731092436976</v>
      </c>
      <c r="C18" s="110">
        <f>C7/C8</f>
        <v>0.20930232558139536</v>
      </c>
      <c r="D18" s="110">
        <f>D7/D8</f>
        <v>0.19736842105263158</v>
      </c>
    </row>
    <row r="19" spans="1:8" x14ac:dyDescent="0.15">
      <c r="B19" s="102"/>
      <c r="C19" s="102"/>
      <c r="D19" s="102"/>
    </row>
    <row r="20" spans="1:8" x14ac:dyDescent="0.15">
      <c r="B20" s="102"/>
      <c r="C20" s="102"/>
      <c r="D20" s="102"/>
    </row>
    <row r="21" spans="1:8" x14ac:dyDescent="0.15">
      <c r="A21" s="109" t="s">
        <v>306</v>
      </c>
      <c r="B21" s="102"/>
      <c r="C21" s="102"/>
      <c r="D21" s="102"/>
    </row>
    <row r="22" spans="1:8" x14ac:dyDescent="0.15">
      <c r="A22" s="58"/>
      <c r="B22" s="102"/>
      <c r="C22" s="102"/>
      <c r="D22" s="102"/>
    </row>
    <row r="23" spans="1:8" x14ac:dyDescent="0.15">
      <c r="A23" s="26" t="s">
        <v>309</v>
      </c>
      <c r="B23" s="50">
        <f>B4+B5</f>
        <v>180</v>
      </c>
      <c r="C23" s="50">
        <f>C4+C5</f>
        <v>243</v>
      </c>
      <c r="D23" s="50">
        <f>D4+D5</f>
        <v>333</v>
      </c>
    </row>
    <row r="24" spans="1:8" x14ac:dyDescent="0.15">
      <c r="A24" s="26" t="s">
        <v>310</v>
      </c>
      <c r="B24" s="102">
        <f>B23/(B3-B6)</f>
        <v>0.83720930232558144</v>
      </c>
      <c r="C24" s="102">
        <f>C23/(C3-C6)</f>
        <v>0.88686131386861311</v>
      </c>
      <c r="D24" s="102">
        <f>D23/(D3-D6)</f>
        <v>0.9173553719008265</v>
      </c>
    </row>
    <row r="25" spans="1:8" x14ac:dyDescent="0.15">
      <c r="A25" s="26" t="s">
        <v>311</v>
      </c>
      <c r="B25" s="102">
        <f>B23/B3</f>
        <v>0.703125</v>
      </c>
      <c r="C25" s="102">
        <f>C23/C3</f>
        <v>0.745398773006135</v>
      </c>
      <c r="D25" s="102">
        <f>D23/D3</f>
        <v>0.7890995260663507</v>
      </c>
    </row>
    <row r="26" spans="1:8" x14ac:dyDescent="0.15">
      <c r="B26" s="102"/>
      <c r="C26" s="102"/>
      <c r="D26" s="102"/>
    </row>
    <row r="27" spans="1:8" x14ac:dyDescent="0.15">
      <c r="B27" s="102"/>
      <c r="C27" s="102"/>
      <c r="D27" s="102"/>
    </row>
    <row r="28" spans="1:8" x14ac:dyDescent="0.15">
      <c r="A28" s="109" t="s">
        <v>1208</v>
      </c>
      <c r="F28" s="108"/>
      <c r="G28" s="108"/>
      <c r="H28" s="108"/>
    </row>
    <row r="29" spans="1:8" x14ac:dyDescent="0.15">
      <c r="A29" s="109"/>
      <c r="F29" s="108"/>
      <c r="G29" s="108"/>
      <c r="H29" s="108"/>
    </row>
    <row r="30" spans="1:8" x14ac:dyDescent="0.15">
      <c r="A30" s="26" t="s">
        <v>1318</v>
      </c>
      <c r="F30" s="108"/>
      <c r="G30" s="108"/>
      <c r="H30" s="108"/>
    </row>
    <row r="31" spans="1:8" x14ac:dyDescent="0.15">
      <c r="F31" s="108"/>
      <c r="G31" s="108"/>
      <c r="H31" s="108"/>
    </row>
    <row r="32" spans="1:8" x14ac:dyDescent="0.15">
      <c r="A32" s="26" t="s">
        <v>312</v>
      </c>
      <c r="B32" s="66">
        <v>0.4</v>
      </c>
      <c r="F32" s="108"/>
      <c r="G32" s="108"/>
      <c r="H32" s="108"/>
    </row>
    <row r="33" spans="1:8" x14ac:dyDescent="0.15">
      <c r="A33" s="26" t="s">
        <v>313</v>
      </c>
      <c r="B33" s="66">
        <v>0.11</v>
      </c>
      <c r="F33" s="108"/>
      <c r="G33" s="108"/>
      <c r="H33" s="108"/>
    </row>
    <row r="34" spans="1:8" x14ac:dyDescent="0.15">
      <c r="A34" s="58"/>
      <c r="F34" s="108"/>
      <c r="G34" s="108"/>
      <c r="H34" s="108"/>
    </row>
    <row r="35" spans="1:8" x14ac:dyDescent="0.15">
      <c r="B35" s="97" t="str">
        <f>D2</f>
        <v>N+2</v>
      </c>
      <c r="C35" s="97" t="s">
        <v>1317</v>
      </c>
      <c r="D35" s="97" t="s">
        <v>314</v>
      </c>
    </row>
    <row r="36" spans="1:8" x14ac:dyDescent="0.15">
      <c r="A36" s="26" t="s">
        <v>227</v>
      </c>
      <c r="B36" s="50">
        <f>D3</f>
        <v>422</v>
      </c>
      <c r="C36" s="50">
        <f>B36</f>
        <v>422</v>
      </c>
      <c r="D36" s="102"/>
      <c r="E36" s="50"/>
    </row>
    <row r="37" spans="1:8" x14ac:dyDescent="0.15">
      <c r="A37" s="26" t="s">
        <v>298</v>
      </c>
      <c r="B37" s="50">
        <f>+D4</f>
        <v>143</v>
      </c>
      <c r="C37" s="50">
        <f>B37*(1+B32)</f>
        <v>200.2</v>
      </c>
      <c r="D37" s="102">
        <f>C37/B37-1</f>
        <v>0.39999999999999991</v>
      </c>
      <c r="E37" s="50"/>
    </row>
    <row r="38" spans="1:8" x14ac:dyDescent="0.15">
      <c r="A38" s="26" t="s">
        <v>299</v>
      </c>
      <c r="B38" s="50">
        <f>D5</f>
        <v>190</v>
      </c>
      <c r="C38" s="50">
        <f>B38*(1+B33)</f>
        <v>210.9</v>
      </c>
      <c r="D38" s="102">
        <f>C38/B38-1</f>
        <v>0.1100000000000001</v>
      </c>
      <c r="E38" s="50"/>
    </row>
    <row r="39" spans="1:8" x14ac:dyDescent="0.15">
      <c r="A39" s="26" t="s">
        <v>193</v>
      </c>
      <c r="B39" s="50">
        <f>D6</f>
        <v>59</v>
      </c>
      <c r="C39" s="50">
        <f>C36-C37-C38-(B36-SUM(B37:B39))</f>
        <v>-19.099999999999994</v>
      </c>
      <c r="D39" s="102">
        <f>C39/B39-1</f>
        <v>-1.3237288135593219</v>
      </c>
      <c r="E39" s="50"/>
    </row>
    <row r="40" spans="1:8" x14ac:dyDescent="0.15">
      <c r="A40" s="26" t="s">
        <v>251</v>
      </c>
      <c r="B40" s="50">
        <f>B39-(D6-D7)</f>
        <v>30</v>
      </c>
      <c r="C40" s="50">
        <f>C39-(B39-B40)</f>
        <v>-48.099999999999994</v>
      </c>
      <c r="D40" s="102">
        <f>C40/B40-1</f>
        <v>-2.6033333333333331</v>
      </c>
      <c r="E40" s="50"/>
    </row>
    <row r="43" spans="1:8" x14ac:dyDescent="0.15">
      <c r="A43" s="26" t="s">
        <v>303</v>
      </c>
      <c r="B43" s="102">
        <f>+B39/B36</f>
        <v>0.13981042654028436</v>
      </c>
      <c r="C43" s="102">
        <f>+C39/C36</f>
        <v>-4.5260663507108993E-2</v>
      </c>
    </row>
    <row r="44" spans="1:8" x14ac:dyDescent="0.15">
      <c r="A44" s="26" t="s">
        <v>304</v>
      </c>
      <c r="B44" s="102">
        <f>+B40/B36</f>
        <v>7.1090047393364927E-2</v>
      </c>
      <c r="C44" s="102">
        <f>+C40/C36</f>
        <v>-0.11398104265402842</v>
      </c>
    </row>
    <row r="45" spans="1:8" x14ac:dyDescent="0.15">
      <c r="A45" s="26" t="s">
        <v>307</v>
      </c>
      <c r="B45" s="102">
        <f>+B39*0.6/($D$8+$D$9)</f>
        <v>0.11721854304635761</v>
      </c>
      <c r="C45" s="102">
        <f>+C39*0.6/($D$8+$D$9+0.5*B40)</f>
        <v>-3.6151419558359606E-2</v>
      </c>
    </row>
    <row r="46" spans="1:8" x14ac:dyDescent="0.15">
      <c r="A46" s="26" t="s">
        <v>308</v>
      </c>
      <c r="B46" s="102">
        <f>B40/$D$8</f>
        <v>0.19736842105263158</v>
      </c>
      <c r="C46" s="102">
        <f>C40/($D$8+0.5*B40)</f>
        <v>-0.28802395209580833</v>
      </c>
    </row>
    <row r="49" spans="1:7" x14ac:dyDescent="0.15">
      <c r="A49" s="58"/>
    </row>
    <row r="51" spans="1:7" ht="13.75" x14ac:dyDescent="0.2">
      <c r="A51" s="30"/>
      <c r="B51" s="30"/>
      <c r="C51" s="30"/>
      <c r="D51" s="30"/>
      <c r="E51" s="30"/>
      <c r="F51" s="30"/>
      <c r="G51" s="30"/>
    </row>
    <row r="52" spans="1:7" ht="13.75" x14ac:dyDescent="0.2">
      <c r="A52" s="30"/>
      <c r="B52" s="111"/>
      <c r="C52" s="111"/>
      <c r="D52" s="111"/>
      <c r="E52" s="111"/>
      <c r="F52" s="111"/>
      <c r="G52" s="30"/>
    </row>
    <row r="53" spans="1:7" ht="13.75" x14ac:dyDescent="0.2">
      <c r="A53" s="30"/>
      <c r="B53" s="30"/>
      <c r="C53" s="30"/>
      <c r="D53" s="30"/>
      <c r="E53" s="30"/>
      <c r="F53" s="30"/>
      <c r="G53" s="30"/>
    </row>
    <row r="54" spans="1:7" ht="13.75" x14ac:dyDescent="0.2">
      <c r="A54" s="112"/>
      <c r="B54" s="113"/>
      <c r="C54" s="113"/>
      <c r="D54" s="113"/>
      <c r="E54" s="113"/>
      <c r="F54" s="113"/>
      <c r="G54" s="30"/>
    </row>
    <row r="55" spans="1:7" ht="13.75" x14ac:dyDescent="0.2">
      <c r="A55" s="112"/>
      <c r="B55" s="113"/>
      <c r="C55" s="113"/>
      <c r="D55" s="113"/>
      <c r="E55" s="113"/>
      <c r="F55" s="113"/>
      <c r="G55" s="30"/>
    </row>
    <row r="56" spans="1:7" ht="13.75" x14ac:dyDescent="0.2">
      <c r="A56" s="30"/>
      <c r="B56" s="113"/>
      <c r="C56" s="113"/>
      <c r="D56" s="113"/>
      <c r="E56" s="113"/>
      <c r="F56" s="113"/>
      <c r="G56" s="30"/>
    </row>
    <row r="57" spans="1:7" ht="13.75" x14ac:dyDescent="0.2">
      <c r="A57" s="30"/>
      <c r="B57" s="30"/>
      <c r="C57" s="30"/>
      <c r="D57" s="30"/>
      <c r="E57" s="30"/>
      <c r="F57" s="30"/>
      <c r="G57" s="30"/>
    </row>
    <row r="58" spans="1:7" ht="13.75" x14ac:dyDescent="0.2">
      <c r="A58" s="112"/>
      <c r="B58" s="30"/>
      <c r="C58" s="30"/>
      <c r="D58" s="30"/>
      <c r="E58" s="30"/>
      <c r="F58" s="114"/>
      <c r="G58" s="30"/>
    </row>
    <row r="59" spans="1:7" ht="13.75" x14ac:dyDescent="0.2">
      <c r="A59" s="112"/>
      <c r="B59" s="30"/>
      <c r="C59" s="30"/>
      <c r="D59" s="30"/>
      <c r="E59" s="30"/>
      <c r="F59" s="30"/>
      <c r="G59" s="30"/>
    </row>
    <row r="60" spans="1:7" ht="13.75" x14ac:dyDescent="0.2">
      <c r="A60" s="30"/>
      <c r="B60" s="30"/>
      <c r="C60" s="30"/>
      <c r="D60" s="30"/>
      <c r="E60" s="30"/>
      <c r="F60" s="30"/>
      <c r="G60" s="30"/>
    </row>
    <row r="61" spans="1:7" ht="13.75" x14ac:dyDescent="0.2">
      <c r="E61" s="71"/>
      <c r="F61" s="71"/>
    </row>
    <row r="62" spans="1:7" ht="13.75" x14ac:dyDescent="0.2">
      <c r="B62" s="52"/>
      <c r="C62" s="52"/>
      <c r="D62" s="52"/>
      <c r="E62" s="52"/>
      <c r="F62" s="52"/>
    </row>
    <row r="63" spans="1:7" ht="13.75" x14ac:dyDescent="0.2">
      <c r="A63" s="47"/>
      <c r="B63" s="52"/>
      <c r="C63" s="52"/>
      <c r="D63" s="52"/>
      <c r="E63" s="52"/>
      <c r="F63" s="52"/>
    </row>
    <row r="64" spans="1:7" ht="13.75" x14ac:dyDescent="0.2">
      <c r="B64" s="52"/>
      <c r="C64" s="52"/>
      <c r="D64" s="52"/>
      <c r="E64" s="52"/>
      <c r="F64" s="52"/>
    </row>
    <row r="69" spans="1:1" ht="13.75" x14ac:dyDescent="0.2">
      <c r="A69" s="109"/>
    </row>
    <row r="70" spans="1:1" ht="13.75" x14ac:dyDescent="0.2">
      <c r="A70" s="109"/>
    </row>
    <row r="137" spans="1:1" ht="13.75" x14ac:dyDescent="0.2">
      <c r="A137" s="26" t="s">
        <v>35</v>
      </c>
    </row>
  </sheetData>
  <phoneticPr fontId="4" type="noConversion"/>
  <pageMargins left="0.7" right="0.7" top="0.75" bottom="0.75" header="0.3" footer="0.3"/>
  <pageSetup paperSize="9" fitToHeight="0"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1"/>
  <sheetViews>
    <sheetView showGridLines="0" workbookViewId="0">
      <selection activeCell="C20" sqref="C20"/>
    </sheetView>
  </sheetViews>
  <sheetFormatPr baseColWidth="10" defaultColWidth="10.6640625" defaultRowHeight="14" x14ac:dyDescent="0.15"/>
  <cols>
    <col min="1" max="1" width="28" style="9" bestFit="1" customWidth="1"/>
    <col min="2" max="2" width="23" style="9" customWidth="1"/>
    <col min="3" max="3" width="22.83203125" style="9" customWidth="1"/>
    <col min="4" max="4" width="21.33203125" style="9" customWidth="1"/>
    <col min="5" max="5" width="26.5" style="9" customWidth="1"/>
    <col min="6" max="6" width="26.1640625" style="9" customWidth="1"/>
    <col min="7" max="7" width="19.5" style="9" customWidth="1"/>
    <col min="8" max="16384" width="10.6640625" style="9"/>
  </cols>
  <sheetData>
    <row r="1" spans="1:6" x14ac:dyDescent="0.15">
      <c r="A1" s="32" t="s">
        <v>1150</v>
      </c>
    </row>
    <row r="2" spans="1:6" x14ac:dyDescent="0.15">
      <c r="A2" s="32"/>
    </row>
    <row r="3" spans="1:6" x14ac:dyDescent="0.15">
      <c r="A3" s="32" t="s">
        <v>37</v>
      </c>
    </row>
    <row r="4" spans="1:6" x14ac:dyDescent="0.15">
      <c r="A4" s="115" t="s">
        <v>333</v>
      </c>
      <c r="B4" s="115">
        <v>1</v>
      </c>
      <c r="C4" s="115">
        <f>B4+1</f>
        <v>2</v>
      </c>
      <c r="D4" s="115">
        <f>C4+1</f>
        <v>3</v>
      </c>
      <c r="E4" s="115">
        <f>D4+1</f>
        <v>4</v>
      </c>
      <c r="F4" s="115">
        <f>E4+1</f>
        <v>5</v>
      </c>
    </row>
    <row r="5" spans="1:6" x14ac:dyDescent="0.15">
      <c r="A5" s="9" t="s">
        <v>227</v>
      </c>
      <c r="B5" s="116">
        <v>100</v>
      </c>
      <c r="C5" s="116">
        <v>100</v>
      </c>
      <c r="D5" s="116">
        <v>100</v>
      </c>
      <c r="E5" s="116">
        <v>100</v>
      </c>
      <c r="F5" s="116">
        <v>100</v>
      </c>
    </row>
    <row r="6" spans="1:6" x14ac:dyDescent="0.15">
      <c r="A6" s="9" t="s">
        <v>963</v>
      </c>
      <c r="B6" s="116">
        <v>100</v>
      </c>
      <c r="C6" s="116">
        <v>100</v>
      </c>
      <c r="D6" s="116">
        <v>104</v>
      </c>
      <c r="E6" s="116">
        <v>99</v>
      </c>
      <c r="F6" s="116">
        <v>0</v>
      </c>
    </row>
    <row r="7" spans="1:6" x14ac:dyDescent="0.15">
      <c r="A7" s="9" t="s">
        <v>317</v>
      </c>
      <c r="B7" s="116">
        <v>23</v>
      </c>
      <c r="C7" s="116">
        <v>24.8</v>
      </c>
      <c r="D7" s="116">
        <v>0</v>
      </c>
      <c r="E7" s="116">
        <v>0</v>
      </c>
      <c r="F7" s="116">
        <v>0</v>
      </c>
    </row>
    <row r="8" spans="1:6" x14ac:dyDescent="0.15">
      <c r="A8" s="106" t="s">
        <v>298</v>
      </c>
      <c r="B8" s="117">
        <v>0</v>
      </c>
      <c r="C8" s="117">
        <v>0</v>
      </c>
      <c r="D8" s="467">
        <v>46.6</v>
      </c>
      <c r="E8" s="118">
        <v>23.6</v>
      </c>
      <c r="F8" s="117">
        <v>0</v>
      </c>
    </row>
    <row r="9" spans="1:6" x14ac:dyDescent="0.15">
      <c r="A9" s="106" t="s">
        <v>318</v>
      </c>
      <c r="B9" s="117">
        <v>7.8</v>
      </c>
      <c r="C9" s="117">
        <v>7</v>
      </c>
      <c r="D9" s="467"/>
      <c r="E9" s="118">
        <v>46.9</v>
      </c>
      <c r="F9" s="117">
        <v>14.1</v>
      </c>
    </row>
    <row r="10" spans="1:6" x14ac:dyDescent="0.15">
      <c r="A10" s="106" t="s">
        <v>319</v>
      </c>
      <c r="B10" s="117">
        <v>9.3000000000000007</v>
      </c>
      <c r="C10" s="117">
        <v>11.7</v>
      </c>
      <c r="D10" s="117">
        <v>21.5</v>
      </c>
      <c r="E10" s="118">
        <v>24.1</v>
      </c>
      <c r="F10" s="117">
        <v>88.2</v>
      </c>
    </row>
    <row r="11" spans="1:6" x14ac:dyDescent="0.15">
      <c r="A11" s="106" t="s">
        <v>177</v>
      </c>
      <c r="B11" s="117">
        <v>6.8</v>
      </c>
      <c r="C11" s="117">
        <v>6.7</v>
      </c>
      <c r="D11" s="117">
        <v>28.1</v>
      </c>
      <c r="E11" s="118">
        <v>3.7</v>
      </c>
      <c r="F11" s="117">
        <v>4.5999999999999996</v>
      </c>
    </row>
    <row r="12" spans="1:6" x14ac:dyDescent="0.15">
      <c r="A12" s="106" t="s">
        <v>178</v>
      </c>
      <c r="B12" s="117">
        <v>2.6</v>
      </c>
      <c r="C12" s="117">
        <v>0.9</v>
      </c>
      <c r="D12" s="117">
        <v>14.4</v>
      </c>
      <c r="E12" s="118">
        <v>1.2</v>
      </c>
      <c r="F12" s="117">
        <v>0.7</v>
      </c>
    </row>
    <row r="13" spans="1:6" x14ac:dyDescent="0.15">
      <c r="A13" s="106" t="s">
        <v>193</v>
      </c>
      <c r="B13" s="117">
        <f>B11-B12</f>
        <v>4.1999999999999993</v>
      </c>
      <c r="C13" s="117">
        <v>5.8</v>
      </c>
      <c r="D13" s="117">
        <v>7.1</v>
      </c>
      <c r="E13" s="117">
        <v>2.9</v>
      </c>
      <c r="F13" s="117">
        <v>3.1</v>
      </c>
    </row>
    <row r="14" spans="1:6" x14ac:dyDescent="0.15">
      <c r="A14" s="13"/>
      <c r="B14" s="119"/>
      <c r="C14" s="119"/>
      <c r="D14" s="119"/>
      <c r="E14" s="119"/>
      <c r="F14" s="119"/>
    </row>
    <row r="15" spans="1:6" x14ac:dyDescent="0.15">
      <c r="A15" s="32"/>
    </row>
    <row r="16" spans="1:6" x14ac:dyDescent="0.15">
      <c r="A16" s="124" t="s">
        <v>320</v>
      </c>
      <c r="B16" s="120" t="s">
        <v>324</v>
      </c>
      <c r="C16" s="120" t="s">
        <v>325</v>
      </c>
      <c r="D16" s="120" t="s">
        <v>323</v>
      </c>
      <c r="E16" s="120" t="s">
        <v>326</v>
      </c>
      <c r="F16" s="120" t="s">
        <v>327</v>
      </c>
    </row>
    <row r="17" spans="1:6" x14ac:dyDescent="0.15">
      <c r="A17" s="125" t="s">
        <v>461</v>
      </c>
      <c r="B17" s="121" t="s">
        <v>328</v>
      </c>
      <c r="C17" s="121" t="s">
        <v>329</v>
      </c>
      <c r="D17" s="121" t="s">
        <v>330</v>
      </c>
      <c r="E17" s="121" t="s">
        <v>331</v>
      </c>
      <c r="F17" s="121" t="s">
        <v>332</v>
      </c>
    </row>
    <row r="18" spans="1:6" x14ac:dyDescent="0.15">
      <c r="A18" s="32"/>
    </row>
    <row r="19" spans="1:6" x14ac:dyDescent="0.15">
      <c r="A19" s="32" t="s">
        <v>36</v>
      </c>
    </row>
    <row r="20" spans="1:6" x14ac:dyDescent="0.15">
      <c r="A20" s="32"/>
    </row>
    <row r="21" spans="1:6" x14ac:dyDescent="0.15">
      <c r="A21" s="115" t="s">
        <v>333</v>
      </c>
      <c r="B21" s="115">
        <v>1</v>
      </c>
      <c r="C21" s="115">
        <f>B21+1</f>
        <v>2</v>
      </c>
      <c r="D21" s="115">
        <f>C21+1</f>
        <v>3</v>
      </c>
      <c r="E21" s="115">
        <f>D21+1</f>
        <v>4</v>
      </c>
      <c r="F21" s="115">
        <f>E21+1</f>
        <v>5</v>
      </c>
    </row>
    <row r="22" spans="1:6" x14ac:dyDescent="0.15">
      <c r="A22" s="9" t="s">
        <v>227</v>
      </c>
      <c r="B22" s="116">
        <v>100</v>
      </c>
      <c r="C22" s="116">
        <v>100</v>
      </c>
      <c r="D22" s="116">
        <v>100</v>
      </c>
      <c r="E22" s="116">
        <v>100</v>
      </c>
      <c r="F22" s="116">
        <v>100</v>
      </c>
    </row>
    <row r="23" spans="1:6" x14ac:dyDescent="0.15">
      <c r="A23" s="9" t="s">
        <v>182</v>
      </c>
      <c r="B23" s="121">
        <v>35.9</v>
      </c>
      <c r="C23" s="121">
        <v>84</v>
      </c>
      <c r="D23" s="121">
        <v>67.7</v>
      </c>
      <c r="E23" s="116">
        <v>44.3</v>
      </c>
      <c r="F23" s="121">
        <v>52.2</v>
      </c>
    </row>
    <row r="24" spans="1:6" x14ac:dyDescent="0.15">
      <c r="A24" s="106" t="s">
        <v>321</v>
      </c>
      <c r="B24" s="122">
        <v>37</v>
      </c>
      <c r="C24" s="122">
        <v>4.4000000000000004</v>
      </c>
      <c r="D24" s="117">
        <v>14</v>
      </c>
      <c r="E24" s="118">
        <v>23.1</v>
      </c>
      <c r="F24" s="122">
        <v>21.8</v>
      </c>
    </row>
    <row r="25" spans="1:6" x14ac:dyDescent="0.15">
      <c r="A25" s="106" t="s">
        <v>322</v>
      </c>
      <c r="B25" s="122">
        <v>11.1</v>
      </c>
      <c r="C25" s="122">
        <v>10</v>
      </c>
      <c r="D25" s="117">
        <v>6.6</v>
      </c>
      <c r="E25" s="118">
        <v>10.7</v>
      </c>
      <c r="F25" s="122">
        <v>9.3000000000000007</v>
      </c>
    </row>
    <row r="26" spans="1:6" x14ac:dyDescent="0.15">
      <c r="A26" s="30" t="s">
        <v>334</v>
      </c>
      <c r="B26" s="122">
        <v>0</v>
      </c>
      <c r="C26" s="122">
        <v>0</v>
      </c>
      <c r="D26" s="117">
        <v>20.100000000000001</v>
      </c>
      <c r="E26" s="118">
        <v>6.6</v>
      </c>
      <c r="F26" s="122">
        <v>2.1</v>
      </c>
    </row>
    <row r="27" spans="1:6" x14ac:dyDescent="0.15">
      <c r="A27" s="9" t="s">
        <v>193</v>
      </c>
      <c r="B27" s="116">
        <f>B22-B23-B24-B25-B26</f>
        <v>15.999999999999995</v>
      </c>
      <c r="C27" s="116">
        <f>C22-C23-C24-C25-C26</f>
        <v>1.5999999999999996</v>
      </c>
      <c r="D27" s="116">
        <f>D22-D23-D24-D25-D26</f>
        <v>-8.4000000000000039</v>
      </c>
      <c r="E27" s="116">
        <f>E22-E23-E24-E25-E26</f>
        <v>15.300000000000002</v>
      </c>
      <c r="F27" s="116">
        <f>F22-F23-F24-F25-F26</f>
        <v>14.599999999999996</v>
      </c>
    </row>
    <row r="29" spans="1:6" x14ac:dyDescent="0.15">
      <c r="A29" s="124" t="s">
        <v>320</v>
      </c>
      <c r="B29" s="120" t="s">
        <v>336</v>
      </c>
      <c r="C29" s="120" t="s">
        <v>337</v>
      </c>
      <c r="D29" s="120" t="s">
        <v>339</v>
      </c>
      <c r="E29" s="120" t="s">
        <v>338</v>
      </c>
      <c r="F29" s="120" t="s">
        <v>335</v>
      </c>
    </row>
    <row r="30" spans="1:6" s="12" customFormat="1" ht="30" x14ac:dyDescent="0.15">
      <c r="A30" s="125" t="s">
        <v>461</v>
      </c>
      <c r="B30" s="107" t="s">
        <v>343</v>
      </c>
      <c r="C30" s="107" t="s">
        <v>341</v>
      </c>
      <c r="D30" s="107" t="s">
        <v>342</v>
      </c>
      <c r="E30" s="107" t="s">
        <v>340</v>
      </c>
      <c r="F30" s="107" t="s">
        <v>1209</v>
      </c>
    </row>
    <row r="31" spans="1:6" x14ac:dyDescent="0.15">
      <c r="B31" s="123"/>
      <c r="C31" s="123"/>
      <c r="D31" s="123"/>
      <c r="E31" s="123"/>
    </row>
  </sheetData>
  <mergeCells count="1">
    <mergeCell ref="D8:D9"/>
  </mergeCells>
  <phoneticPr fontId="4" type="noConversion"/>
  <pageMargins left="0.7" right="0.7" top="0.75" bottom="0.75" header="0.3" footer="0.3"/>
  <pageSetup paperSize="9" scale="52" fitToHeight="0"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03"/>
  <sheetViews>
    <sheetView showGridLines="0" topLeftCell="A70" workbookViewId="0">
      <selection activeCell="C20" sqref="C20"/>
    </sheetView>
  </sheetViews>
  <sheetFormatPr baseColWidth="10" defaultColWidth="10.6640625" defaultRowHeight="14" x14ac:dyDescent="0.15"/>
  <cols>
    <col min="1" max="1" width="37.5" style="26" customWidth="1"/>
    <col min="2" max="4" width="10.6640625" style="26"/>
    <col min="5" max="5" width="12.83203125" style="26" customWidth="1"/>
    <col min="6" max="7" width="7.5" style="26" customWidth="1"/>
    <col min="8" max="16384" width="10.6640625" style="26"/>
  </cols>
  <sheetData>
    <row r="1" spans="1:6" x14ac:dyDescent="0.15">
      <c r="A1" s="45" t="s">
        <v>352</v>
      </c>
    </row>
    <row r="2" spans="1:6" x14ac:dyDescent="0.15">
      <c r="A2" s="45"/>
    </row>
    <row r="3" spans="1:6" x14ac:dyDescent="0.15">
      <c r="A3" s="127" t="s">
        <v>333</v>
      </c>
      <c r="B3" s="127" t="s">
        <v>498</v>
      </c>
      <c r="C3" s="127" t="s">
        <v>499</v>
      </c>
      <c r="D3" s="127" t="s">
        <v>500</v>
      </c>
      <c r="E3" s="127" t="s">
        <v>501</v>
      </c>
      <c r="F3" s="128"/>
    </row>
    <row r="4" spans="1:6" x14ac:dyDescent="0.15">
      <c r="A4" s="26" t="s">
        <v>227</v>
      </c>
      <c r="B4" s="63">
        <v>100</v>
      </c>
      <c r="C4" s="63">
        <v>100</v>
      </c>
      <c r="D4" s="63">
        <v>100</v>
      </c>
      <c r="E4" s="63">
        <v>100</v>
      </c>
    </row>
    <row r="5" spans="1:6" x14ac:dyDescent="0.15">
      <c r="A5" s="26" t="s">
        <v>344</v>
      </c>
      <c r="B5" s="63">
        <v>65</v>
      </c>
      <c r="C5" s="63">
        <v>55</v>
      </c>
      <c r="D5" s="63">
        <v>36</v>
      </c>
      <c r="E5" s="63">
        <v>30</v>
      </c>
    </row>
    <row r="6" spans="1:6" x14ac:dyDescent="0.15">
      <c r="A6" s="75" t="s">
        <v>345</v>
      </c>
      <c r="B6" s="129">
        <v>25</v>
      </c>
      <c r="C6" s="129">
        <v>29</v>
      </c>
      <c r="D6" s="129">
        <v>50</v>
      </c>
      <c r="E6" s="129">
        <v>55</v>
      </c>
      <c r="F6" s="30"/>
    </row>
    <row r="7" spans="1:6" x14ac:dyDescent="0.15">
      <c r="A7" s="58" t="s">
        <v>177</v>
      </c>
      <c r="B7" s="58">
        <f>B4-B5-B6</f>
        <v>10</v>
      </c>
      <c r="C7" s="58">
        <f>C4-C5-C6</f>
        <v>16</v>
      </c>
      <c r="D7" s="58">
        <f>D4-D5-D6</f>
        <v>14</v>
      </c>
      <c r="E7" s="58">
        <f>E4-E5-E6</f>
        <v>15</v>
      </c>
      <c r="F7" s="58"/>
    </row>
    <row r="8" spans="1:6" x14ac:dyDescent="0.15">
      <c r="A8" s="75" t="s">
        <v>178</v>
      </c>
      <c r="B8" s="129">
        <v>2</v>
      </c>
      <c r="C8" s="129">
        <v>8</v>
      </c>
      <c r="D8" s="129">
        <v>4</v>
      </c>
      <c r="E8" s="129">
        <v>6</v>
      </c>
      <c r="F8" s="30"/>
    </row>
    <row r="9" spans="1:6" x14ac:dyDescent="0.15">
      <c r="A9" s="58" t="s">
        <v>346</v>
      </c>
      <c r="B9" s="58">
        <f>B7-B8</f>
        <v>8</v>
      </c>
      <c r="C9" s="58">
        <f>C7-C8</f>
        <v>8</v>
      </c>
      <c r="D9" s="58">
        <f>D7-D8</f>
        <v>10</v>
      </c>
      <c r="E9" s="58">
        <f>E7-E8</f>
        <v>9</v>
      </c>
      <c r="F9" s="58"/>
    </row>
    <row r="10" spans="1:6" x14ac:dyDescent="0.15">
      <c r="A10" s="75" t="s">
        <v>347</v>
      </c>
      <c r="B10" s="129">
        <v>2</v>
      </c>
      <c r="C10" s="129">
        <v>6</v>
      </c>
      <c r="D10" s="129">
        <v>1.5</v>
      </c>
      <c r="E10" s="129">
        <v>6</v>
      </c>
      <c r="F10" s="30"/>
    </row>
    <row r="11" spans="1:6" x14ac:dyDescent="0.15">
      <c r="A11" s="58" t="s">
        <v>348</v>
      </c>
      <c r="B11" s="58">
        <f>B9-B10</f>
        <v>6</v>
      </c>
      <c r="C11" s="58">
        <f>C9-C10</f>
        <v>2</v>
      </c>
      <c r="D11" s="58">
        <f>D9-D10</f>
        <v>8.5</v>
      </c>
      <c r="E11" s="58">
        <f>E9-E10</f>
        <v>3</v>
      </c>
      <c r="F11" s="58"/>
    </row>
    <row r="13" spans="1:6" x14ac:dyDescent="0.15">
      <c r="A13" s="26" t="s">
        <v>349</v>
      </c>
      <c r="B13" s="50">
        <f>(B6+B8)/(1-B5/B4)</f>
        <v>77.142857142857153</v>
      </c>
      <c r="C13" s="50">
        <f>(C6+C8)/(1-C5/C4)</f>
        <v>82.222222222222229</v>
      </c>
      <c r="D13" s="50">
        <f>(D6+D8)/(1-D5/D4)</f>
        <v>84.375</v>
      </c>
      <c r="E13" s="50">
        <f>(E6+E8)/(1-E5/E4)</f>
        <v>87.142857142857153</v>
      </c>
      <c r="F13" s="50"/>
    </row>
    <row r="14" spans="1:6" x14ac:dyDescent="0.15">
      <c r="A14" s="26" t="s">
        <v>351</v>
      </c>
      <c r="B14" s="130">
        <f>B$4/B13</f>
        <v>1.2962962962962961</v>
      </c>
      <c r="C14" s="130">
        <f>C$4/C13</f>
        <v>1.2162162162162162</v>
      </c>
      <c r="D14" s="130">
        <f>D$4/D13</f>
        <v>1.1851851851851851</v>
      </c>
      <c r="E14" s="130">
        <f>E$4/E13</f>
        <v>1.1475409836065573</v>
      </c>
      <c r="F14" s="130"/>
    </row>
    <row r="16" spans="1:6" x14ac:dyDescent="0.15">
      <c r="A16" s="26" t="s">
        <v>350</v>
      </c>
      <c r="B16" s="50">
        <f>(B6+B8+B10)/(1-B5/B4)</f>
        <v>82.857142857142861</v>
      </c>
      <c r="C16" s="50">
        <f>(C6+C8+C10)/(1-C5/C4)</f>
        <v>95.555555555555571</v>
      </c>
      <c r="D16" s="50">
        <f>(D6+D8+D10)/(1-D5/D4)</f>
        <v>86.71875</v>
      </c>
      <c r="E16" s="50">
        <f>(E6+E8+E10)/(1-E5/E4)</f>
        <v>95.714285714285722</v>
      </c>
      <c r="F16" s="50"/>
    </row>
    <row r="17" spans="1:8" x14ac:dyDescent="0.15">
      <c r="A17" s="26" t="s">
        <v>351</v>
      </c>
      <c r="B17" s="130">
        <f>B$4/B16</f>
        <v>1.2068965517241379</v>
      </c>
      <c r="C17" s="130">
        <f>C$4/C16</f>
        <v>1.0465116279069766</v>
      </c>
      <c r="D17" s="130">
        <f>D$4/D16</f>
        <v>1.1531531531531531</v>
      </c>
      <c r="E17" s="130">
        <f>E$4/E16</f>
        <v>1.044776119402985</v>
      </c>
      <c r="F17" s="130"/>
    </row>
    <row r="19" spans="1:8" x14ac:dyDescent="0.15">
      <c r="A19" s="45" t="s">
        <v>353</v>
      </c>
    </row>
    <row r="20" spans="1:8" x14ac:dyDescent="0.15">
      <c r="A20" s="45"/>
    </row>
    <row r="21" spans="1:8" x14ac:dyDescent="0.15">
      <c r="A21" s="97" t="s">
        <v>51</v>
      </c>
      <c r="B21" s="97">
        <v>1</v>
      </c>
      <c r="C21" s="97">
        <v>2</v>
      </c>
      <c r="D21" s="97">
        <v>3</v>
      </c>
      <c r="E21" s="97"/>
    </row>
    <row r="22" spans="1:8" x14ac:dyDescent="0.15">
      <c r="A22" s="26" t="s">
        <v>227</v>
      </c>
      <c r="B22" s="64">
        <v>82000</v>
      </c>
      <c r="C22" s="64">
        <v>92000</v>
      </c>
      <c r="D22" s="64">
        <v>97000</v>
      </c>
      <c r="E22" s="110"/>
      <c r="F22" s="110"/>
      <c r="H22" s="50"/>
    </row>
    <row r="23" spans="1:8" x14ac:dyDescent="0.15">
      <c r="A23" s="26" t="s">
        <v>176</v>
      </c>
      <c r="B23" s="64">
        <v>500</v>
      </c>
      <c r="C23" s="64">
        <v>1400</v>
      </c>
      <c r="D23" s="64">
        <v>2800</v>
      </c>
      <c r="E23" s="110"/>
      <c r="F23" s="110"/>
      <c r="H23" s="50"/>
    </row>
    <row r="24" spans="1:8" x14ac:dyDescent="0.15">
      <c r="A24" s="58" t="s">
        <v>354</v>
      </c>
      <c r="B24" s="50">
        <f>SUM(B22:B23)</f>
        <v>82500</v>
      </c>
      <c r="C24" s="50">
        <f>SUM(C22:C23)</f>
        <v>93400</v>
      </c>
      <c r="D24" s="50">
        <f>SUM(D22:D23)</f>
        <v>99800</v>
      </c>
      <c r="H24" s="50"/>
    </row>
    <row r="25" spans="1:8" x14ac:dyDescent="0.15">
      <c r="A25" s="26" t="s">
        <v>355</v>
      </c>
      <c r="B25" s="64">
        <v>24800</v>
      </c>
      <c r="C25" s="64">
        <v>27400</v>
      </c>
      <c r="D25" s="64">
        <v>29900</v>
      </c>
      <c r="E25" s="110"/>
      <c r="F25" s="110"/>
      <c r="H25" s="50"/>
    </row>
    <row r="26" spans="1:8" x14ac:dyDescent="0.15">
      <c r="A26" s="26" t="s">
        <v>356</v>
      </c>
      <c r="B26" s="64">
        <v>-1700</v>
      </c>
      <c r="C26" s="64">
        <v>-500</v>
      </c>
      <c r="D26" s="64">
        <v>-1600</v>
      </c>
      <c r="E26" s="110"/>
      <c r="F26" s="110"/>
      <c r="H26" s="50"/>
    </row>
    <row r="27" spans="1:8" x14ac:dyDescent="0.15">
      <c r="A27" s="26" t="s">
        <v>318</v>
      </c>
      <c r="B27" s="64">
        <v>20200</v>
      </c>
      <c r="C27" s="64">
        <v>23000</v>
      </c>
      <c r="D27" s="64">
        <v>23500</v>
      </c>
      <c r="E27" s="110"/>
      <c r="F27" s="110"/>
      <c r="H27" s="50"/>
    </row>
    <row r="28" spans="1:8" x14ac:dyDescent="0.15">
      <c r="A28" s="26" t="s">
        <v>357</v>
      </c>
      <c r="B28" s="64">
        <v>1200</v>
      </c>
      <c r="C28" s="64">
        <v>1400</v>
      </c>
      <c r="D28" s="64">
        <v>1500</v>
      </c>
      <c r="E28" s="110"/>
      <c r="F28" s="110"/>
      <c r="H28" s="50"/>
    </row>
    <row r="29" spans="1:8" x14ac:dyDescent="0.15">
      <c r="A29" s="26" t="s">
        <v>319</v>
      </c>
      <c r="B29" s="64">
        <v>29000</v>
      </c>
      <c r="C29" s="64">
        <v>33000</v>
      </c>
      <c r="D29" s="64">
        <v>37000</v>
      </c>
      <c r="E29" s="110"/>
      <c r="F29" s="110"/>
      <c r="H29" s="50"/>
    </row>
    <row r="30" spans="1:8" x14ac:dyDescent="0.15">
      <c r="A30" s="26" t="s">
        <v>178</v>
      </c>
      <c r="B30" s="64">
        <v>5200</v>
      </c>
      <c r="C30" s="64">
        <v>4900</v>
      </c>
      <c r="D30" s="64">
        <v>4800</v>
      </c>
      <c r="E30" s="110"/>
      <c r="F30" s="110"/>
      <c r="H30" s="50"/>
    </row>
    <row r="31" spans="1:8" x14ac:dyDescent="0.15">
      <c r="A31" s="26" t="s">
        <v>358</v>
      </c>
      <c r="B31" s="64">
        <v>100</v>
      </c>
      <c r="C31" s="64">
        <v>200</v>
      </c>
      <c r="D31" s="64"/>
      <c r="E31" s="110"/>
      <c r="F31" s="110"/>
      <c r="H31" s="50"/>
    </row>
    <row r="32" spans="1:8" x14ac:dyDescent="0.15">
      <c r="A32" s="58" t="s">
        <v>359</v>
      </c>
      <c r="B32" s="50">
        <f>SUM(B25:B31)</f>
        <v>78800</v>
      </c>
      <c r="C32" s="50">
        <f>SUM(C25:C31)</f>
        <v>89400</v>
      </c>
      <c r="D32" s="50">
        <f>SUM(D25:D31)</f>
        <v>95100</v>
      </c>
    </row>
    <row r="33" spans="1:7" s="133" customFormat="1" ht="24" customHeight="1" x14ac:dyDescent="0.15">
      <c r="A33" s="131" t="s">
        <v>193</v>
      </c>
      <c r="B33" s="132">
        <f>B24-B32</f>
        <v>3700</v>
      </c>
      <c r="C33" s="132">
        <f>C24-C32</f>
        <v>4000</v>
      </c>
      <c r="D33" s="132">
        <f>D24-D32</f>
        <v>4700</v>
      </c>
    </row>
    <row r="34" spans="1:7" x14ac:dyDescent="0.15">
      <c r="A34" s="26" t="s">
        <v>360</v>
      </c>
      <c r="B34" s="64">
        <v>300</v>
      </c>
      <c r="C34" s="64">
        <v>400</v>
      </c>
      <c r="D34" s="64">
        <v>300</v>
      </c>
      <c r="F34" s="110"/>
    </row>
    <row r="35" spans="1:7" x14ac:dyDescent="0.15">
      <c r="A35" s="26" t="s">
        <v>361</v>
      </c>
      <c r="B35" s="64">
        <v>2300</v>
      </c>
      <c r="C35" s="64">
        <v>2900</v>
      </c>
      <c r="D35" s="64">
        <v>3900</v>
      </c>
      <c r="E35" s="110"/>
      <c r="F35" s="110"/>
    </row>
    <row r="36" spans="1:7" s="133" customFormat="1" ht="24" customHeight="1" x14ac:dyDescent="0.15">
      <c r="A36" s="131" t="s">
        <v>362</v>
      </c>
      <c r="B36" s="132">
        <f>B34-B35</f>
        <v>-2000</v>
      </c>
      <c r="C36" s="132">
        <f>C34-C35</f>
        <v>-2500</v>
      </c>
      <c r="D36" s="132">
        <f>D34-D35</f>
        <v>-3600</v>
      </c>
      <c r="E36" s="134"/>
      <c r="F36" s="134"/>
    </row>
    <row r="37" spans="1:7" x14ac:dyDescent="0.15">
      <c r="A37" s="26" t="s">
        <v>363</v>
      </c>
      <c r="B37" s="64">
        <v>-100</v>
      </c>
      <c r="C37" s="64">
        <v>-100</v>
      </c>
      <c r="D37" s="64">
        <v>100</v>
      </c>
    </row>
    <row r="38" spans="1:7" x14ac:dyDescent="0.15">
      <c r="A38" s="26" t="s">
        <v>198</v>
      </c>
      <c r="B38" s="64">
        <v>800</v>
      </c>
      <c r="C38" s="64">
        <v>700</v>
      </c>
      <c r="D38" s="64">
        <v>600</v>
      </c>
    </row>
    <row r="39" spans="1:7" ht="27" customHeight="1" x14ac:dyDescent="0.15">
      <c r="A39" s="131" t="s">
        <v>251</v>
      </c>
      <c r="B39" s="132">
        <f>B33+B36+B37-B38</f>
        <v>800</v>
      </c>
      <c r="C39" s="132">
        <f>C33+C36+C37-C38</f>
        <v>700</v>
      </c>
      <c r="D39" s="132">
        <f>D33+D36+D37-D38</f>
        <v>600</v>
      </c>
      <c r="E39" s="110"/>
    </row>
    <row r="40" spans="1:7" x14ac:dyDescent="0.15">
      <c r="A40" s="135"/>
      <c r="B40" s="136"/>
      <c r="C40" s="136"/>
      <c r="D40" s="136"/>
      <c r="E40" s="110"/>
      <c r="G40" s="137"/>
    </row>
    <row r="41" spans="1:7" x14ac:dyDescent="0.15">
      <c r="A41" s="135" t="s">
        <v>364</v>
      </c>
      <c r="B41" s="136"/>
      <c r="C41" s="136"/>
      <c r="D41" s="136"/>
      <c r="E41" s="110"/>
      <c r="F41" s="468" t="s">
        <v>366</v>
      </c>
      <c r="G41" s="468"/>
    </row>
    <row r="42" spans="1:7" x14ac:dyDescent="0.15">
      <c r="A42" s="135"/>
      <c r="B42" s="136">
        <v>1</v>
      </c>
      <c r="C42" s="136">
        <v>2</v>
      </c>
      <c r="D42" s="136">
        <v>3</v>
      </c>
      <c r="E42" s="110"/>
      <c r="F42" s="97">
        <v>2</v>
      </c>
      <c r="G42" s="97">
        <v>3</v>
      </c>
    </row>
    <row r="43" spans="1:7" s="58" customFormat="1" x14ac:dyDescent="0.15">
      <c r="A43" s="138" t="s">
        <v>227</v>
      </c>
      <c r="B43" s="139">
        <f>B22</f>
        <v>82000</v>
      </c>
      <c r="C43" s="139">
        <f>C22</f>
        <v>92000</v>
      </c>
      <c r="D43" s="139">
        <f>D22</f>
        <v>97000</v>
      </c>
      <c r="E43" s="140"/>
      <c r="F43" s="140">
        <f t="shared" ref="F43:F56" si="0">C43/B43-1</f>
        <v>0.12195121951219523</v>
      </c>
      <c r="G43" s="140">
        <f t="shared" ref="G43:G56" si="1">D43/C43-1</f>
        <v>5.4347826086956541E-2</v>
      </c>
    </row>
    <row r="44" spans="1:7" x14ac:dyDescent="0.15">
      <c r="A44" s="26" t="s">
        <v>368</v>
      </c>
      <c r="B44" s="141">
        <f>B25+B26-B23</f>
        <v>22600</v>
      </c>
      <c r="C44" s="141">
        <f>C25+C26-C23</f>
        <v>25500</v>
      </c>
      <c r="D44" s="141">
        <f>D25+D26-D23</f>
        <v>25500</v>
      </c>
      <c r="E44" s="110"/>
      <c r="F44" s="110">
        <f t="shared" si="0"/>
        <v>0.12831858407079655</v>
      </c>
      <c r="G44" s="110">
        <f t="shared" si="1"/>
        <v>0</v>
      </c>
    </row>
    <row r="45" spans="1:7" x14ac:dyDescent="0.15">
      <c r="A45" s="138" t="s">
        <v>367</v>
      </c>
      <c r="B45" s="139">
        <f>B43-B44</f>
        <v>59400</v>
      </c>
      <c r="C45" s="139">
        <f>C43-C44</f>
        <v>66500</v>
      </c>
      <c r="D45" s="139">
        <f>D43-D44</f>
        <v>71500</v>
      </c>
      <c r="E45" s="140"/>
      <c r="F45" s="140">
        <f t="shared" si="0"/>
        <v>0.1195286195286196</v>
      </c>
      <c r="G45" s="140">
        <f t="shared" si="1"/>
        <v>7.5187969924812137E-2</v>
      </c>
    </row>
    <row r="46" spans="1:7" x14ac:dyDescent="0.15">
      <c r="A46" s="26" t="s">
        <v>318</v>
      </c>
      <c r="B46" s="141">
        <f t="shared" ref="B46:D48" si="2">B27</f>
        <v>20200</v>
      </c>
      <c r="C46" s="141">
        <f t="shared" si="2"/>
        <v>23000</v>
      </c>
      <c r="D46" s="141">
        <f t="shared" si="2"/>
        <v>23500</v>
      </c>
      <c r="E46" s="110"/>
      <c r="F46" s="110">
        <f t="shared" si="0"/>
        <v>0.13861386138613851</v>
      </c>
      <c r="G46" s="110">
        <f t="shared" si="1"/>
        <v>2.1739130434782705E-2</v>
      </c>
    </row>
    <row r="47" spans="1:7" x14ac:dyDescent="0.15">
      <c r="A47" s="26" t="s">
        <v>357</v>
      </c>
      <c r="B47" s="141">
        <f t="shared" si="2"/>
        <v>1200</v>
      </c>
      <c r="C47" s="141">
        <f t="shared" si="2"/>
        <v>1400</v>
      </c>
      <c r="D47" s="141">
        <f t="shared" si="2"/>
        <v>1500</v>
      </c>
      <c r="E47" s="110"/>
      <c r="F47" s="110">
        <f t="shared" si="0"/>
        <v>0.16666666666666674</v>
      </c>
      <c r="G47" s="110">
        <f t="shared" si="1"/>
        <v>7.1428571428571397E-2</v>
      </c>
    </row>
    <row r="48" spans="1:7" x14ac:dyDescent="0.15">
      <c r="A48" s="26" t="s">
        <v>319</v>
      </c>
      <c r="B48" s="141">
        <f t="shared" si="2"/>
        <v>29000</v>
      </c>
      <c r="C48" s="141">
        <f t="shared" si="2"/>
        <v>33000</v>
      </c>
      <c r="D48" s="141">
        <f t="shared" si="2"/>
        <v>37000</v>
      </c>
      <c r="E48" s="110"/>
      <c r="F48" s="110">
        <f t="shared" si="0"/>
        <v>0.13793103448275867</v>
      </c>
      <c r="G48" s="110">
        <f t="shared" si="1"/>
        <v>0.1212121212121211</v>
      </c>
    </row>
    <row r="49" spans="1:7" x14ac:dyDescent="0.15">
      <c r="A49" s="26" t="s">
        <v>358</v>
      </c>
      <c r="B49" s="141">
        <f>B31</f>
        <v>100</v>
      </c>
      <c r="C49" s="141">
        <f>C31</f>
        <v>200</v>
      </c>
      <c r="D49" s="141">
        <f>D31</f>
        <v>0</v>
      </c>
      <c r="E49" s="110"/>
      <c r="F49" s="110">
        <f t="shared" si="0"/>
        <v>1</v>
      </c>
      <c r="G49" s="110">
        <f t="shared" si="1"/>
        <v>-1</v>
      </c>
    </row>
    <row r="50" spans="1:7" x14ac:dyDescent="0.15">
      <c r="A50" s="138" t="s">
        <v>177</v>
      </c>
      <c r="B50" s="139">
        <f>B45-B46-B47-B48-B49</f>
        <v>8900</v>
      </c>
      <c r="C50" s="139">
        <f>C45-C46-C47-C48-C49</f>
        <v>8900</v>
      </c>
      <c r="D50" s="139">
        <f>D45-D46-D47-D48-D49</f>
        <v>9500</v>
      </c>
      <c r="E50" s="140"/>
      <c r="F50" s="140">
        <f t="shared" si="0"/>
        <v>0</v>
      </c>
      <c r="G50" s="140">
        <f t="shared" si="1"/>
        <v>6.7415730337078594E-2</v>
      </c>
    </row>
    <row r="51" spans="1:7" x14ac:dyDescent="0.15">
      <c r="A51" s="26" t="s">
        <v>178</v>
      </c>
      <c r="B51" s="141">
        <f>B30</f>
        <v>5200</v>
      </c>
      <c r="C51" s="141">
        <f>C30</f>
        <v>4900</v>
      </c>
      <c r="D51" s="141">
        <f>D30</f>
        <v>4800</v>
      </c>
      <c r="E51" s="110"/>
      <c r="F51" s="110">
        <f t="shared" si="0"/>
        <v>-5.7692307692307709E-2</v>
      </c>
      <c r="G51" s="110">
        <f t="shared" si="1"/>
        <v>-2.0408163265306145E-2</v>
      </c>
    </row>
    <row r="52" spans="1:7" x14ac:dyDescent="0.15">
      <c r="A52" s="138" t="s">
        <v>193</v>
      </c>
      <c r="B52" s="139">
        <f>B50-B51</f>
        <v>3700</v>
      </c>
      <c r="C52" s="139">
        <f>C50-C51</f>
        <v>4000</v>
      </c>
      <c r="D52" s="139">
        <f>D50-D51</f>
        <v>4700</v>
      </c>
      <c r="E52" s="140"/>
      <c r="F52" s="140">
        <f t="shared" si="0"/>
        <v>8.1081081081081141E-2</v>
      </c>
      <c r="G52" s="140">
        <f t="shared" si="1"/>
        <v>0.17500000000000004</v>
      </c>
    </row>
    <row r="53" spans="1:7" s="58" customFormat="1" x14ac:dyDescent="0.15">
      <c r="A53" s="142" t="s">
        <v>365</v>
      </c>
      <c r="B53" s="143">
        <f>B35-B34</f>
        <v>2000</v>
      </c>
      <c r="C53" s="143">
        <f>C35-C34</f>
        <v>2500</v>
      </c>
      <c r="D53" s="143">
        <f>D35-D34</f>
        <v>3600</v>
      </c>
      <c r="E53" s="144"/>
      <c r="F53" s="144">
        <f t="shared" si="0"/>
        <v>0.25</v>
      </c>
      <c r="G53" s="144">
        <f t="shared" si="1"/>
        <v>0.43999999999999995</v>
      </c>
    </row>
    <row r="54" spans="1:7" x14ac:dyDescent="0.15">
      <c r="A54" s="26" t="s">
        <v>363</v>
      </c>
      <c r="B54" s="141">
        <f t="shared" ref="B54:D55" si="3">B37</f>
        <v>-100</v>
      </c>
      <c r="C54" s="141">
        <f t="shared" si="3"/>
        <v>-100</v>
      </c>
      <c r="D54" s="141">
        <f t="shared" si="3"/>
        <v>100</v>
      </c>
      <c r="E54" s="110"/>
      <c r="F54" s="110">
        <f t="shared" si="0"/>
        <v>0</v>
      </c>
      <c r="G54" s="110">
        <f t="shared" si="1"/>
        <v>-2</v>
      </c>
    </row>
    <row r="55" spans="1:7" x14ac:dyDescent="0.15">
      <c r="A55" s="26" t="s">
        <v>198</v>
      </c>
      <c r="B55" s="141">
        <f t="shared" si="3"/>
        <v>800</v>
      </c>
      <c r="C55" s="141">
        <f t="shared" si="3"/>
        <v>700</v>
      </c>
      <c r="D55" s="141">
        <f t="shared" si="3"/>
        <v>600</v>
      </c>
      <c r="E55" s="110"/>
      <c r="F55" s="110">
        <f t="shared" si="0"/>
        <v>-0.125</v>
      </c>
      <c r="G55" s="110">
        <f t="shared" si="1"/>
        <v>-0.1428571428571429</v>
      </c>
    </row>
    <row r="56" spans="1:7" x14ac:dyDescent="0.15">
      <c r="A56" s="138" t="s">
        <v>251</v>
      </c>
      <c r="B56" s="139">
        <f>B52-B53+B54-B55</f>
        <v>800</v>
      </c>
      <c r="C56" s="139">
        <f>C52-C53+C54-C55</f>
        <v>700</v>
      </c>
      <c r="D56" s="139">
        <f>D52-D53+D54-D55</f>
        <v>600</v>
      </c>
      <c r="E56" s="140"/>
      <c r="F56" s="140">
        <f t="shared" si="0"/>
        <v>-0.125</v>
      </c>
      <c r="G56" s="140">
        <f t="shared" si="1"/>
        <v>-0.1428571428571429</v>
      </c>
    </row>
    <row r="57" spans="1:7" x14ac:dyDescent="0.15">
      <c r="A57" s="135"/>
      <c r="B57" s="136"/>
      <c r="C57" s="136"/>
      <c r="D57" s="136"/>
      <c r="E57" s="110"/>
    </row>
    <row r="58" spans="1:7" x14ac:dyDescent="0.15">
      <c r="A58" s="145" t="s">
        <v>369</v>
      </c>
      <c r="B58" s="136"/>
      <c r="C58" s="136"/>
      <c r="D58" s="136"/>
      <c r="E58" s="110"/>
    </row>
    <row r="59" spans="1:7" x14ac:dyDescent="0.15">
      <c r="A59" s="135"/>
      <c r="B59" s="136"/>
      <c r="C59" s="136"/>
      <c r="D59" s="136"/>
      <c r="E59" s="110"/>
    </row>
    <row r="60" spans="1:7" x14ac:dyDescent="0.15">
      <c r="A60" s="138" t="s">
        <v>227</v>
      </c>
      <c r="B60" s="146">
        <f t="shared" ref="B60:D73" si="4">B43/B$43</f>
        <v>1</v>
      </c>
      <c r="C60" s="146">
        <f t="shared" si="4"/>
        <v>1</v>
      </c>
      <c r="D60" s="146">
        <f t="shared" si="4"/>
        <v>1</v>
      </c>
      <c r="E60" s="110"/>
    </row>
    <row r="61" spans="1:7" x14ac:dyDescent="0.15">
      <c r="A61" s="26" t="s">
        <v>368</v>
      </c>
      <c r="B61" s="147">
        <f t="shared" si="4"/>
        <v>0.275609756097561</v>
      </c>
      <c r="C61" s="147">
        <f t="shared" si="4"/>
        <v>0.27717391304347827</v>
      </c>
      <c r="D61" s="147">
        <f t="shared" si="4"/>
        <v>0.26288659793814434</v>
      </c>
      <c r="E61" s="110"/>
    </row>
    <row r="62" spans="1:7" x14ac:dyDescent="0.15">
      <c r="A62" s="138" t="s">
        <v>370</v>
      </c>
      <c r="B62" s="146">
        <f t="shared" si="4"/>
        <v>0.724390243902439</v>
      </c>
      <c r="C62" s="146">
        <f t="shared" si="4"/>
        <v>0.72282608695652173</v>
      </c>
      <c r="D62" s="146">
        <f t="shared" si="4"/>
        <v>0.73711340206185572</v>
      </c>
      <c r="E62" s="110"/>
    </row>
    <row r="63" spans="1:7" x14ac:dyDescent="0.15">
      <c r="A63" s="26" t="s">
        <v>318</v>
      </c>
      <c r="B63" s="147">
        <f t="shared" si="4"/>
        <v>0.24634146341463414</v>
      </c>
      <c r="C63" s="147">
        <f t="shared" si="4"/>
        <v>0.25</v>
      </c>
      <c r="D63" s="147">
        <f t="shared" si="4"/>
        <v>0.2422680412371134</v>
      </c>
      <c r="E63" s="110"/>
    </row>
    <row r="64" spans="1:7" x14ac:dyDescent="0.15">
      <c r="A64" s="26" t="s">
        <v>357</v>
      </c>
      <c r="B64" s="147">
        <f t="shared" si="4"/>
        <v>1.4634146341463415E-2</v>
      </c>
      <c r="C64" s="147">
        <f t="shared" si="4"/>
        <v>1.5217391304347827E-2</v>
      </c>
      <c r="D64" s="147">
        <f t="shared" si="4"/>
        <v>1.5463917525773196E-2</v>
      </c>
      <c r="E64" s="110"/>
    </row>
    <row r="65" spans="1:6" x14ac:dyDescent="0.15">
      <c r="A65" s="26" t="s">
        <v>319</v>
      </c>
      <c r="B65" s="147">
        <f t="shared" si="4"/>
        <v>0.35365853658536583</v>
      </c>
      <c r="C65" s="147">
        <f t="shared" si="4"/>
        <v>0.35869565217391303</v>
      </c>
      <c r="D65" s="147">
        <f t="shared" si="4"/>
        <v>0.38144329896907214</v>
      </c>
      <c r="E65" s="110"/>
    </row>
    <row r="66" spans="1:6" x14ac:dyDescent="0.15">
      <c r="A66" s="26" t="s">
        <v>358</v>
      </c>
      <c r="B66" s="147">
        <f t="shared" si="4"/>
        <v>1.2195121951219512E-3</v>
      </c>
      <c r="C66" s="147">
        <f t="shared" si="4"/>
        <v>2.1739130434782609E-3</v>
      </c>
      <c r="D66" s="147">
        <f t="shared" si="4"/>
        <v>0</v>
      </c>
      <c r="E66" s="110"/>
    </row>
    <row r="67" spans="1:6" x14ac:dyDescent="0.15">
      <c r="A67" s="138" t="s">
        <v>177</v>
      </c>
      <c r="B67" s="146">
        <f t="shared" si="4"/>
        <v>0.10853658536585366</v>
      </c>
      <c r="C67" s="146">
        <f t="shared" si="4"/>
        <v>9.6739130434782605E-2</v>
      </c>
      <c r="D67" s="146">
        <f t="shared" si="4"/>
        <v>9.7938144329896906E-2</v>
      </c>
      <c r="E67" s="110"/>
    </row>
    <row r="68" spans="1:6" x14ac:dyDescent="0.15">
      <c r="A68" s="26" t="s">
        <v>178</v>
      </c>
      <c r="B68" s="147">
        <f t="shared" si="4"/>
        <v>6.3414634146341464E-2</v>
      </c>
      <c r="C68" s="147">
        <f t="shared" si="4"/>
        <v>5.3260869565217389E-2</v>
      </c>
      <c r="D68" s="147">
        <f t="shared" si="4"/>
        <v>4.9484536082474224E-2</v>
      </c>
      <c r="E68" s="110"/>
    </row>
    <row r="69" spans="1:6" x14ac:dyDescent="0.15">
      <c r="A69" s="138" t="s">
        <v>193</v>
      </c>
      <c r="B69" s="146">
        <f t="shared" si="4"/>
        <v>4.5121951219512194E-2</v>
      </c>
      <c r="C69" s="146">
        <f t="shared" si="4"/>
        <v>4.3478260869565216E-2</v>
      </c>
      <c r="D69" s="146">
        <f t="shared" si="4"/>
        <v>4.8453608247422682E-2</v>
      </c>
      <c r="E69" s="110"/>
    </row>
    <row r="70" spans="1:6" x14ac:dyDescent="0.15">
      <c r="A70" s="142" t="s">
        <v>365</v>
      </c>
      <c r="B70" s="146">
        <f t="shared" si="4"/>
        <v>2.4390243902439025E-2</v>
      </c>
      <c r="C70" s="146">
        <f t="shared" si="4"/>
        <v>2.717391304347826E-2</v>
      </c>
      <c r="D70" s="146">
        <f t="shared" si="4"/>
        <v>3.711340206185567E-2</v>
      </c>
      <c r="E70" s="110"/>
    </row>
    <row r="71" spans="1:6" x14ac:dyDescent="0.15">
      <c r="A71" s="26" t="s">
        <v>363</v>
      </c>
      <c r="B71" s="147">
        <f t="shared" si="4"/>
        <v>-1.2195121951219512E-3</v>
      </c>
      <c r="C71" s="147">
        <f t="shared" si="4"/>
        <v>-1.0869565217391304E-3</v>
      </c>
      <c r="D71" s="147">
        <f t="shared" si="4"/>
        <v>1.0309278350515464E-3</v>
      </c>
      <c r="E71" s="110"/>
    </row>
    <row r="72" spans="1:6" x14ac:dyDescent="0.15">
      <c r="A72" s="26" t="s">
        <v>198</v>
      </c>
      <c r="B72" s="147">
        <f t="shared" si="4"/>
        <v>9.7560975609756097E-3</v>
      </c>
      <c r="C72" s="147">
        <f t="shared" si="4"/>
        <v>7.6086956521739134E-3</v>
      </c>
      <c r="D72" s="147">
        <f t="shared" si="4"/>
        <v>6.1855670103092781E-3</v>
      </c>
      <c r="E72" s="110"/>
    </row>
    <row r="73" spans="1:6" x14ac:dyDescent="0.15">
      <c r="A73" s="138" t="s">
        <v>251</v>
      </c>
      <c r="B73" s="146">
        <f t="shared" si="4"/>
        <v>9.7560975609756097E-3</v>
      </c>
      <c r="C73" s="146">
        <f t="shared" si="4"/>
        <v>7.6086956521739134E-3</v>
      </c>
      <c r="D73" s="146">
        <f t="shared" si="4"/>
        <v>6.1855670103092781E-3</v>
      </c>
      <c r="E73" s="110"/>
    </row>
    <row r="74" spans="1:6" x14ac:dyDescent="0.15">
      <c r="A74" s="135"/>
      <c r="B74" s="136"/>
      <c r="C74" s="136"/>
      <c r="D74" s="136"/>
      <c r="E74" s="110"/>
    </row>
    <row r="75" spans="1:6" x14ac:dyDescent="0.15">
      <c r="B75" s="136"/>
      <c r="C75" s="136"/>
      <c r="D75" s="136"/>
      <c r="E75" s="110"/>
    </row>
    <row r="76" spans="1:6" x14ac:dyDescent="0.15">
      <c r="A76" s="45" t="s">
        <v>371</v>
      </c>
      <c r="B76" s="136"/>
      <c r="C76" s="136"/>
      <c r="D76" s="136"/>
      <c r="E76" s="110"/>
      <c r="F76" s="110"/>
    </row>
    <row r="77" spans="1:6" x14ac:dyDescent="0.15">
      <c r="A77" s="45"/>
      <c r="F77" s="110"/>
    </row>
    <row r="78" spans="1:6" x14ac:dyDescent="0.15">
      <c r="A78" s="127" t="s">
        <v>372</v>
      </c>
      <c r="B78" s="127">
        <v>0</v>
      </c>
      <c r="C78" s="127">
        <v>1</v>
      </c>
      <c r="D78" s="127">
        <v>2</v>
      </c>
      <c r="E78" s="127">
        <v>3</v>
      </c>
      <c r="F78" s="110"/>
    </row>
    <row r="79" spans="1:6" x14ac:dyDescent="0.15">
      <c r="A79" s="26" t="s">
        <v>963</v>
      </c>
      <c r="B79" s="84">
        <v>70.2</v>
      </c>
      <c r="C79" s="84">
        <v>106</v>
      </c>
      <c r="D79" s="84">
        <v>132</v>
      </c>
      <c r="E79" s="84">
        <v>161</v>
      </c>
    </row>
    <row r="80" spans="1:6" x14ac:dyDescent="0.15">
      <c r="A80" s="26" t="s">
        <v>298</v>
      </c>
      <c r="B80" s="84">
        <v>29.4</v>
      </c>
      <c r="C80" s="84">
        <v>35.4</v>
      </c>
      <c r="D80" s="84">
        <v>44.3</v>
      </c>
      <c r="E80" s="84">
        <v>53.8</v>
      </c>
    </row>
    <row r="81" spans="1:5" x14ac:dyDescent="0.15">
      <c r="A81" s="26" t="s">
        <v>299</v>
      </c>
      <c r="B81" s="84">
        <v>22.2</v>
      </c>
      <c r="C81" s="84">
        <v>29.4</v>
      </c>
      <c r="D81" s="84">
        <v>36.700000000000003</v>
      </c>
      <c r="E81" s="84">
        <v>41.1</v>
      </c>
    </row>
    <row r="82" spans="1:5" x14ac:dyDescent="0.15">
      <c r="A82" s="26" t="s">
        <v>357</v>
      </c>
      <c r="B82" s="84">
        <v>0.5</v>
      </c>
      <c r="C82" s="84">
        <v>0.7</v>
      </c>
      <c r="D82" s="84">
        <v>0.7</v>
      </c>
      <c r="E82" s="84">
        <v>0.8</v>
      </c>
    </row>
    <row r="83" spans="1:5" x14ac:dyDescent="0.15">
      <c r="A83" s="26" t="s">
        <v>373</v>
      </c>
      <c r="B83" s="84">
        <v>13.7</v>
      </c>
      <c r="C83" s="84">
        <v>19.8</v>
      </c>
      <c r="D83" s="84">
        <v>24.6</v>
      </c>
      <c r="E83" s="84">
        <v>30.5</v>
      </c>
    </row>
    <row r="84" spans="1:5" x14ac:dyDescent="0.15">
      <c r="A84" s="30" t="s">
        <v>374</v>
      </c>
      <c r="B84" s="84">
        <v>2.5</v>
      </c>
      <c r="C84" s="84">
        <v>8.9</v>
      </c>
      <c r="D84" s="84">
        <v>11.2</v>
      </c>
      <c r="E84" s="84">
        <v>11.3</v>
      </c>
    </row>
    <row r="85" spans="1:5" x14ac:dyDescent="0.15">
      <c r="A85" s="30" t="s">
        <v>178</v>
      </c>
      <c r="B85" s="84">
        <v>1.4</v>
      </c>
      <c r="C85" s="84">
        <v>2.7</v>
      </c>
      <c r="D85" s="84">
        <v>3.6</v>
      </c>
      <c r="E85" s="84">
        <v>5</v>
      </c>
    </row>
    <row r="87" spans="1:5" x14ac:dyDescent="0.15">
      <c r="A87" s="75" t="s">
        <v>344</v>
      </c>
      <c r="B87" s="148">
        <f>SUM(B88:B90)</f>
        <v>38.75</v>
      </c>
      <c r="C87" s="148">
        <f>SUM(C88:C90)</f>
        <v>54.199999999999996</v>
      </c>
      <c r="D87" s="148">
        <f>SUM(D88:D90)</f>
        <v>67.8</v>
      </c>
      <c r="E87" s="148">
        <f>SUM(E88:E90)</f>
        <v>80.349999999999994</v>
      </c>
    </row>
    <row r="88" spans="1:5" x14ac:dyDescent="0.15">
      <c r="A88" s="62" t="s">
        <v>319</v>
      </c>
      <c r="B88" s="83">
        <f>B80</f>
        <v>29.4</v>
      </c>
      <c r="C88" s="83">
        <f>C80</f>
        <v>35.4</v>
      </c>
      <c r="D88" s="83">
        <f>D80</f>
        <v>44.3</v>
      </c>
      <c r="E88" s="83">
        <f>E80</f>
        <v>53.8</v>
      </c>
    </row>
    <row r="89" spans="1:5" x14ac:dyDescent="0.15">
      <c r="A89" s="62" t="s">
        <v>357</v>
      </c>
      <c r="B89" s="83">
        <f>B84</f>
        <v>2.5</v>
      </c>
      <c r="C89" s="83">
        <f>C84</f>
        <v>8.9</v>
      </c>
      <c r="D89" s="83">
        <f>D84</f>
        <v>11.2</v>
      </c>
      <c r="E89" s="83">
        <f>E84</f>
        <v>11.3</v>
      </c>
    </row>
    <row r="90" spans="1:5" x14ac:dyDescent="0.15">
      <c r="A90" s="62" t="s">
        <v>378</v>
      </c>
      <c r="B90" s="83">
        <f>B83/2</f>
        <v>6.85</v>
      </c>
      <c r="C90" s="83">
        <f>C83/2</f>
        <v>9.9</v>
      </c>
      <c r="D90" s="83">
        <f>D83/2</f>
        <v>12.3</v>
      </c>
      <c r="E90" s="83">
        <f>E83/2</f>
        <v>15.25</v>
      </c>
    </row>
    <row r="91" spans="1:5" x14ac:dyDescent="0.15">
      <c r="A91" s="75" t="s">
        <v>345</v>
      </c>
      <c r="B91" s="148">
        <f>SUM(B92:B95)</f>
        <v>30.949999999999996</v>
      </c>
      <c r="C91" s="148">
        <f>SUM(C92:C95)</f>
        <v>42.7</v>
      </c>
      <c r="D91" s="148">
        <f>SUM(D92:D95)</f>
        <v>53.300000000000004</v>
      </c>
      <c r="E91" s="148">
        <f>SUM(E92:E95)</f>
        <v>62.15</v>
      </c>
    </row>
    <row r="92" spans="1:5" x14ac:dyDescent="0.15">
      <c r="A92" s="62" t="s">
        <v>319</v>
      </c>
      <c r="B92" s="83">
        <f t="shared" ref="B92:E93" si="5">B81</f>
        <v>22.2</v>
      </c>
      <c r="C92" s="83">
        <f t="shared" si="5"/>
        <v>29.4</v>
      </c>
      <c r="D92" s="83">
        <f t="shared" si="5"/>
        <v>36.700000000000003</v>
      </c>
      <c r="E92" s="83">
        <f t="shared" si="5"/>
        <v>41.1</v>
      </c>
    </row>
    <row r="93" spans="1:5" x14ac:dyDescent="0.15">
      <c r="A93" s="62" t="s">
        <v>357</v>
      </c>
      <c r="B93" s="83">
        <f t="shared" si="5"/>
        <v>0.5</v>
      </c>
      <c r="C93" s="83">
        <f t="shared" si="5"/>
        <v>0.7</v>
      </c>
      <c r="D93" s="83">
        <f t="shared" si="5"/>
        <v>0.7</v>
      </c>
      <c r="E93" s="83">
        <f t="shared" si="5"/>
        <v>0.8</v>
      </c>
    </row>
    <row r="94" spans="1:5" x14ac:dyDescent="0.15">
      <c r="A94" s="62" t="s">
        <v>378</v>
      </c>
      <c r="B94" s="83">
        <f>B83/2</f>
        <v>6.85</v>
      </c>
      <c r="C94" s="83">
        <f>C83/2</f>
        <v>9.9</v>
      </c>
      <c r="D94" s="83">
        <f>D83/2</f>
        <v>12.3</v>
      </c>
      <c r="E94" s="83">
        <f>E83/2</f>
        <v>15.25</v>
      </c>
    </row>
    <row r="95" spans="1:5" x14ac:dyDescent="0.15">
      <c r="A95" s="62" t="s">
        <v>178</v>
      </c>
      <c r="B95" s="83">
        <f>B85</f>
        <v>1.4</v>
      </c>
      <c r="C95" s="83">
        <f>C85</f>
        <v>2.7</v>
      </c>
      <c r="D95" s="83">
        <f>D85</f>
        <v>3.6</v>
      </c>
      <c r="E95" s="83">
        <f>E85</f>
        <v>5</v>
      </c>
    </row>
    <row r="97" spans="1:5" x14ac:dyDescent="0.15">
      <c r="A97" s="75" t="s">
        <v>377</v>
      </c>
      <c r="B97" s="148">
        <f>B91/(1-B87/B79)</f>
        <v>69.083942766295692</v>
      </c>
      <c r="C97" s="148">
        <f>C91/(1-C87/C79)</f>
        <v>87.378378378378386</v>
      </c>
      <c r="D97" s="148">
        <f>D91/(1-D87/D79)</f>
        <v>109.58878504672899</v>
      </c>
      <c r="E97" s="148">
        <f>E91/(1-E87/E79)</f>
        <v>124.06881587104772</v>
      </c>
    </row>
    <row r="98" spans="1:5" x14ac:dyDescent="0.15">
      <c r="A98" s="74" t="s">
        <v>351</v>
      </c>
      <c r="B98" s="149">
        <f>B79/B97</f>
        <v>1.0161550888529889</v>
      </c>
      <c r="C98" s="149">
        <f>C79/C97</f>
        <v>1.2131147540983604</v>
      </c>
      <c r="D98" s="149">
        <f>D79/D97</f>
        <v>1.2045028142589116</v>
      </c>
      <c r="E98" s="149">
        <f>E79/E97</f>
        <v>1.2976669348350767</v>
      </c>
    </row>
    <row r="100" spans="1:5" x14ac:dyDescent="0.15">
      <c r="A100" s="75" t="s">
        <v>376</v>
      </c>
      <c r="B100" s="150">
        <v>1.6</v>
      </c>
      <c r="C100" s="150">
        <f>1.6+3</f>
        <v>4.5999999999999996</v>
      </c>
      <c r="D100" s="150">
        <f>1.6+3</f>
        <v>4.5999999999999996</v>
      </c>
      <c r="E100" s="150">
        <f>1.6+3</f>
        <v>4.5999999999999996</v>
      </c>
    </row>
    <row r="102" spans="1:5" x14ac:dyDescent="0.15">
      <c r="A102" s="75" t="s">
        <v>375</v>
      </c>
      <c r="B102" s="148">
        <f>(B91+B100)/(1-B87/B79)</f>
        <v>72.655325914149444</v>
      </c>
      <c r="C102" s="148">
        <f>(C91+C100)/(1-C87/C79)</f>
        <v>96.791505791505799</v>
      </c>
      <c r="D102" s="148">
        <f>(D91+D100)/(1-D87/D79)</f>
        <v>119.04672897196264</v>
      </c>
      <c r="E102" s="148">
        <f>(E91+E100)/(1-E87/E79)</f>
        <v>133.25170489770611</v>
      </c>
    </row>
    <row r="103" spans="1:5" x14ac:dyDescent="0.15">
      <c r="A103" s="74" t="s">
        <v>351</v>
      </c>
      <c r="B103" s="149">
        <f>B79/B102</f>
        <v>0.96620583717357911</v>
      </c>
      <c r="C103" s="149">
        <f>C79/C102</f>
        <v>1.095137420718816</v>
      </c>
      <c r="D103" s="149">
        <f>D79/D102</f>
        <v>1.1088082901554401</v>
      </c>
      <c r="E103" s="149">
        <f>E79/E102</f>
        <v>1.2082397003745322</v>
      </c>
    </row>
  </sheetData>
  <mergeCells count="1">
    <mergeCell ref="F41:G41"/>
  </mergeCells>
  <phoneticPr fontId="4" type="noConversion"/>
  <pageMargins left="0.7" right="0.7" top="0.75" bottom="0.75" header="0.3" footer="0.3"/>
  <pageSetup paperSize="9" scale="79" fitToHeight="0"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91"/>
  <sheetViews>
    <sheetView showGridLines="0" workbookViewId="0">
      <selection activeCell="C20" sqref="C20"/>
    </sheetView>
  </sheetViews>
  <sheetFormatPr baseColWidth="10" defaultColWidth="10.6640625" defaultRowHeight="14" x14ac:dyDescent="0.15"/>
  <cols>
    <col min="1" max="1" width="34.83203125" style="26" customWidth="1"/>
    <col min="2" max="2" width="10.6640625" style="26"/>
    <col min="3" max="3" width="12.5" style="26" customWidth="1"/>
    <col min="4" max="16384" width="10.6640625" style="26"/>
  </cols>
  <sheetData>
    <row r="1" spans="1:4" x14ac:dyDescent="0.15">
      <c r="A1" s="45" t="s">
        <v>379</v>
      </c>
      <c r="B1" s="97" t="s">
        <v>506</v>
      </c>
    </row>
    <row r="2" spans="1:4" x14ac:dyDescent="0.15">
      <c r="A2" s="45"/>
      <c r="B2" s="97"/>
    </row>
    <row r="3" spans="1:4" x14ac:dyDescent="0.15">
      <c r="A3" s="26" t="s">
        <v>227</v>
      </c>
      <c r="B3" s="63">
        <v>100</v>
      </c>
    </row>
    <row r="4" spans="1:4" x14ac:dyDescent="0.15">
      <c r="A4" s="26" t="s">
        <v>230</v>
      </c>
      <c r="B4" s="63">
        <v>30</v>
      </c>
    </row>
    <row r="5" spans="1:4" x14ac:dyDescent="0.15">
      <c r="A5" s="26" t="s">
        <v>380</v>
      </c>
      <c r="B5" s="63">
        <v>40</v>
      </c>
    </row>
    <row r="6" spans="1:4" x14ac:dyDescent="0.15">
      <c r="A6" s="26" t="s">
        <v>322</v>
      </c>
      <c r="B6" s="63">
        <v>20</v>
      </c>
    </row>
    <row r="8" spans="1:4" x14ac:dyDescent="0.15">
      <c r="A8" s="58" t="s">
        <v>381</v>
      </c>
    </row>
    <row r="9" spans="1:4" x14ac:dyDescent="0.15">
      <c r="A9" s="26" t="s">
        <v>382</v>
      </c>
      <c r="B9" s="63">
        <v>15</v>
      </c>
      <c r="C9" s="26" t="s">
        <v>383</v>
      </c>
      <c r="D9" s="159" t="s">
        <v>385</v>
      </c>
    </row>
    <row r="10" spans="1:4" x14ac:dyDescent="0.15">
      <c r="A10" s="26" t="s">
        <v>387</v>
      </c>
      <c r="B10" s="63">
        <v>1</v>
      </c>
      <c r="C10" s="26" t="s">
        <v>384</v>
      </c>
      <c r="D10" s="63">
        <v>30</v>
      </c>
    </row>
    <row r="11" spans="1:4" x14ac:dyDescent="0.15">
      <c r="A11" s="62" t="s">
        <v>183</v>
      </c>
      <c r="B11" s="63">
        <v>1</v>
      </c>
      <c r="C11" s="26" t="s">
        <v>384</v>
      </c>
    </row>
    <row r="12" spans="1:4" x14ac:dyDescent="0.15">
      <c r="A12" s="62" t="s">
        <v>386</v>
      </c>
      <c r="B12" s="63">
        <v>15</v>
      </c>
      <c r="C12" s="26" t="s">
        <v>383</v>
      </c>
    </row>
    <row r="13" spans="1:4" x14ac:dyDescent="0.15">
      <c r="A13" s="26" t="s">
        <v>391</v>
      </c>
      <c r="B13" s="63">
        <v>15</v>
      </c>
      <c r="C13" s="26" t="s">
        <v>383</v>
      </c>
    </row>
    <row r="15" spans="1:4" x14ac:dyDescent="0.15">
      <c r="A15" s="58" t="s">
        <v>388</v>
      </c>
    </row>
    <row r="16" spans="1:4" x14ac:dyDescent="0.15">
      <c r="A16" s="26" t="s">
        <v>389</v>
      </c>
      <c r="B16" s="63">
        <v>2</v>
      </c>
      <c r="C16" s="26" t="s">
        <v>384</v>
      </c>
    </row>
    <row r="17" spans="1:4" x14ac:dyDescent="0.15">
      <c r="A17" s="26" t="s">
        <v>390</v>
      </c>
      <c r="B17" s="63">
        <v>1</v>
      </c>
      <c r="C17" s="26" t="s">
        <v>384</v>
      </c>
    </row>
    <row r="19" spans="1:4" ht="45" x14ac:dyDescent="0.15">
      <c r="B19" s="160" t="s">
        <v>392</v>
      </c>
      <c r="C19" s="160" t="s">
        <v>394</v>
      </c>
      <c r="D19" s="160" t="s">
        <v>393</v>
      </c>
    </row>
    <row r="20" spans="1:4" x14ac:dyDescent="0.15">
      <c r="A20" s="26" t="s">
        <v>382</v>
      </c>
      <c r="B20" s="110">
        <f>B4/B3</f>
        <v>0.3</v>
      </c>
      <c r="C20" s="151">
        <f>B9</f>
        <v>15</v>
      </c>
      <c r="D20" s="151">
        <f>B20*C20</f>
        <v>4.5</v>
      </c>
    </row>
    <row r="21" spans="1:4" x14ac:dyDescent="0.15">
      <c r="A21" s="26" t="s">
        <v>395</v>
      </c>
      <c r="B21" s="110"/>
    </row>
    <row r="22" spans="1:4" x14ac:dyDescent="0.15">
      <c r="A22" s="62" t="s">
        <v>183</v>
      </c>
      <c r="B22" s="110">
        <f>B4/B3</f>
        <v>0.3</v>
      </c>
      <c r="C22" s="26">
        <f>B11*Jours</f>
        <v>30</v>
      </c>
      <c r="D22" s="26">
        <f>B22*C22</f>
        <v>9</v>
      </c>
    </row>
    <row r="23" spans="1:4" x14ac:dyDescent="0.15">
      <c r="A23" s="62" t="s">
        <v>386</v>
      </c>
      <c r="B23" s="110">
        <f>B5/B3</f>
        <v>0.4</v>
      </c>
      <c r="C23" s="26">
        <f>B12</f>
        <v>15</v>
      </c>
      <c r="D23" s="26">
        <f>B23*C23</f>
        <v>6</v>
      </c>
    </row>
    <row r="24" spans="1:4" x14ac:dyDescent="0.15">
      <c r="A24" s="26" t="s">
        <v>391</v>
      </c>
      <c r="B24" s="110">
        <f>(B4+B5+B6)/B3</f>
        <v>0.9</v>
      </c>
      <c r="C24" s="26">
        <f>B13</f>
        <v>15</v>
      </c>
      <c r="D24" s="26">
        <f>B24*C24</f>
        <v>13.5</v>
      </c>
    </row>
    <row r="25" spans="1:4" x14ac:dyDescent="0.15">
      <c r="A25" s="30" t="s">
        <v>396</v>
      </c>
      <c r="B25" s="152">
        <f>B3/B3</f>
        <v>1</v>
      </c>
      <c r="C25" s="30">
        <f>B17*Jours</f>
        <v>30</v>
      </c>
      <c r="D25" s="30">
        <f>B25*C25</f>
        <v>30</v>
      </c>
    </row>
    <row r="26" spans="1:4" x14ac:dyDescent="0.15">
      <c r="A26" s="75" t="s">
        <v>397</v>
      </c>
      <c r="B26" s="153">
        <f>-B4/B3</f>
        <v>-0.3</v>
      </c>
      <c r="C26" s="154">
        <f>B16*Jours</f>
        <v>60</v>
      </c>
      <c r="D26" s="154">
        <f>B26*C26</f>
        <v>-18</v>
      </c>
    </row>
    <row r="27" spans="1:4" x14ac:dyDescent="0.15">
      <c r="A27" s="155" t="s">
        <v>962</v>
      </c>
      <c r="D27" s="151">
        <f>SUM(D20:D26)</f>
        <v>45</v>
      </c>
    </row>
    <row r="29" spans="1:4" x14ac:dyDescent="0.15">
      <c r="A29" s="45" t="s">
        <v>398</v>
      </c>
    </row>
    <row r="30" spans="1:4" x14ac:dyDescent="0.15">
      <c r="A30" s="45"/>
    </row>
    <row r="31" spans="1:4" x14ac:dyDescent="0.15">
      <c r="A31" s="26" t="s">
        <v>399</v>
      </c>
      <c r="B31" s="66">
        <v>0.25</v>
      </c>
      <c r="C31" s="26" t="s">
        <v>400</v>
      </c>
    </row>
    <row r="32" spans="1:4" x14ac:dyDescent="0.15">
      <c r="A32" s="26" t="s">
        <v>401</v>
      </c>
      <c r="B32" s="63">
        <v>100</v>
      </c>
    </row>
    <row r="33" spans="1:6" x14ac:dyDescent="0.15">
      <c r="A33" s="26" t="s">
        <v>402</v>
      </c>
      <c r="B33" s="63">
        <v>120</v>
      </c>
    </row>
    <row r="34" spans="1:6" x14ac:dyDescent="0.15">
      <c r="A34" s="26" t="s">
        <v>403</v>
      </c>
      <c r="B34" s="66">
        <v>0.15</v>
      </c>
      <c r="C34" s="26" t="s">
        <v>695</v>
      </c>
    </row>
    <row r="36" spans="1:6" ht="30" x14ac:dyDescent="0.15">
      <c r="A36" s="47" t="s">
        <v>404</v>
      </c>
      <c r="B36" s="26">
        <f>B34*B33-B31*(B33-B32)</f>
        <v>13</v>
      </c>
    </row>
    <row r="38" spans="1:6" x14ac:dyDescent="0.15">
      <c r="A38" s="45" t="s">
        <v>405</v>
      </c>
    </row>
    <row r="39" spans="1:6" x14ac:dyDescent="0.15">
      <c r="A39" s="45"/>
    </row>
    <row r="40" spans="1:6" x14ac:dyDescent="0.15">
      <c r="A40" s="58" t="s">
        <v>406</v>
      </c>
      <c r="B40" s="97">
        <v>2010</v>
      </c>
      <c r="C40" s="97">
        <f>B40+1</f>
        <v>2011</v>
      </c>
      <c r="D40" s="97">
        <f>C40+1</f>
        <v>2012</v>
      </c>
      <c r="E40" s="97">
        <f>D40+1</f>
        <v>2013</v>
      </c>
      <c r="F40" s="97">
        <f>E40+1</f>
        <v>2014</v>
      </c>
    </row>
    <row r="41" spans="1:6" x14ac:dyDescent="0.15">
      <c r="A41" s="26" t="s">
        <v>407</v>
      </c>
      <c r="B41" s="156">
        <v>6.1</v>
      </c>
      <c r="C41" s="156">
        <v>7.4</v>
      </c>
      <c r="D41" s="156">
        <v>9.1</v>
      </c>
      <c r="E41" s="156">
        <v>13</v>
      </c>
      <c r="F41" s="156">
        <v>15.4</v>
      </c>
    </row>
    <row r="42" spans="1:6" x14ac:dyDescent="0.15">
      <c r="A42" s="26" t="s">
        <v>408</v>
      </c>
      <c r="B42" s="156">
        <v>6.4</v>
      </c>
      <c r="C42" s="156">
        <v>8.9</v>
      </c>
      <c r="D42" s="156">
        <v>10.5</v>
      </c>
      <c r="E42" s="156">
        <v>11.1</v>
      </c>
      <c r="F42" s="156">
        <v>11.6</v>
      </c>
    </row>
    <row r="43" spans="1:6" x14ac:dyDescent="0.15">
      <c r="A43" s="26" t="s">
        <v>409</v>
      </c>
      <c r="B43" s="156">
        <v>2.1</v>
      </c>
      <c r="C43" s="156">
        <v>3.5</v>
      </c>
      <c r="D43" s="156">
        <v>3.5</v>
      </c>
      <c r="E43" s="156">
        <v>3.8</v>
      </c>
      <c r="F43" s="156">
        <v>3.4</v>
      </c>
    </row>
    <row r="45" spans="1:6" x14ac:dyDescent="0.15">
      <c r="A45" s="58" t="s">
        <v>271</v>
      </c>
    </row>
    <row r="46" spans="1:6" x14ac:dyDescent="0.15">
      <c r="A46" s="26" t="s">
        <v>410</v>
      </c>
      <c r="B46" s="156">
        <v>32.799999999999997</v>
      </c>
      <c r="C46" s="156">
        <v>44.7</v>
      </c>
      <c r="D46" s="156">
        <v>49.4</v>
      </c>
      <c r="E46" s="156">
        <v>48.9</v>
      </c>
      <c r="F46" s="156">
        <v>50</v>
      </c>
    </row>
    <row r="47" spans="1:6" x14ac:dyDescent="0.15">
      <c r="A47" s="26" t="s">
        <v>411</v>
      </c>
      <c r="B47" s="156">
        <v>38.9</v>
      </c>
      <c r="C47" s="156">
        <v>52.6</v>
      </c>
      <c r="D47" s="156">
        <v>58.1</v>
      </c>
      <c r="E47" s="156">
        <v>57.4</v>
      </c>
      <c r="F47" s="156">
        <v>57.2</v>
      </c>
    </row>
    <row r="48" spans="1:6" x14ac:dyDescent="0.15">
      <c r="A48" s="26" t="s">
        <v>412</v>
      </c>
      <c r="B48" s="156">
        <v>12.5</v>
      </c>
      <c r="C48" s="156">
        <v>19.2</v>
      </c>
      <c r="D48" s="156">
        <v>19.600000000000001</v>
      </c>
      <c r="E48" s="156">
        <v>20.9</v>
      </c>
      <c r="F48" s="156">
        <v>20.399999999999999</v>
      </c>
    </row>
    <row r="50" spans="1:6" ht="13.75" x14ac:dyDescent="0.2">
      <c r="A50" s="58" t="s">
        <v>495</v>
      </c>
    </row>
    <row r="51" spans="1:6" ht="13.75" x14ac:dyDescent="0.2">
      <c r="A51" s="26" t="s">
        <v>413</v>
      </c>
      <c r="B51" s="71">
        <f>B41+B42-B43</f>
        <v>10.4</v>
      </c>
      <c r="C51" s="71">
        <f>C41+C42-C43</f>
        <v>12.8</v>
      </c>
      <c r="D51" s="71">
        <f>D41+D42-D43</f>
        <v>16.100000000000001</v>
      </c>
      <c r="E51" s="71">
        <f>E41+E42-E43</f>
        <v>20.3</v>
      </c>
      <c r="F51" s="71">
        <f>F41+F42-F43</f>
        <v>23.6</v>
      </c>
    </row>
    <row r="52" spans="1:6" ht="13.75" x14ac:dyDescent="0.2">
      <c r="A52" s="26" t="s">
        <v>415</v>
      </c>
      <c r="B52" s="80">
        <f>B51/B46*365</f>
        <v>115.73170731707319</v>
      </c>
      <c r="C52" s="80">
        <f>C51/C46*365</f>
        <v>104.51901565995526</v>
      </c>
      <c r="D52" s="80">
        <f>D51/D46*365</f>
        <v>118.95748987854252</v>
      </c>
      <c r="E52" s="80">
        <f>E51/E46*365</f>
        <v>151.5235173824131</v>
      </c>
      <c r="F52" s="80">
        <f>F51/F46*365</f>
        <v>172.28</v>
      </c>
    </row>
    <row r="53" spans="1:6" ht="13.75" x14ac:dyDescent="0.2">
      <c r="A53" s="26" t="s">
        <v>416</v>
      </c>
      <c r="B53" s="80">
        <f>B42/B47*365</f>
        <v>60.051413881748076</v>
      </c>
      <c r="C53" s="80">
        <f>C42/C47*365</f>
        <v>61.758555133079852</v>
      </c>
      <c r="D53" s="80">
        <f>D42/D47*365</f>
        <v>65.963855421686745</v>
      </c>
      <c r="E53" s="80">
        <f>E42/E47*365</f>
        <v>70.583623693379792</v>
      </c>
      <c r="F53" s="80">
        <f>F42/F47*365</f>
        <v>74.020979020979013</v>
      </c>
    </row>
    <row r="54" spans="1:6" ht="13.75" x14ac:dyDescent="0.2">
      <c r="A54" s="26" t="s">
        <v>414</v>
      </c>
      <c r="B54" s="80">
        <f>B41/B46*365</f>
        <v>67.881097560975604</v>
      </c>
      <c r="C54" s="80">
        <f>C41/C46*365</f>
        <v>60.425055928411631</v>
      </c>
      <c r="D54" s="80">
        <f>D41/D46*365</f>
        <v>67.23684210526315</v>
      </c>
      <c r="E54" s="80">
        <f>E41/E46*365</f>
        <v>97.034764826175859</v>
      </c>
      <c r="F54" s="80">
        <f>F41/F46*365</f>
        <v>112.42</v>
      </c>
    </row>
    <row r="55" spans="1:6" ht="13.75" x14ac:dyDescent="0.2">
      <c r="A55" s="26" t="s">
        <v>469</v>
      </c>
      <c r="B55" s="80">
        <f>B43/B48*365</f>
        <v>61.32</v>
      </c>
      <c r="C55" s="80">
        <f>C43/C48*365</f>
        <v>66.536458333333343</v>
      </c>
      <c r="D55" s="80">
        <f>D43/D48*365</f>
        <v>65.178571428571416</v>
      </c>
      <c r="E55" s="80">
        <f>E43/E48*365</f>
        <v>66.36363636363636</v>
      </c>
      <c r="F55" s="80">
        <f>F43/F48*365</f>
        <v>60.833333333333343</v>
      </c>
    </row>
    <row r="57" spans="1:6" ht="13.75" x14ac:dyDescent="0.2">
      <c r="A57" s="45" t="s">
        <v>470</v>
      </c>
    </row>
    <row r="58" spans="1:6" ht="13.75" x14ac:dyDescent="0.2">
      <c r="A58" s="26" t="s">
        <v>479</v>
      </c>
      <c r="B58" s="63">
        <v>4</v>
      </c>
      <c r="C58" s="26" t="s">
        <v>473</v>
      </c>
    </row>
    <row r="59" spans="1:6" ht="13.75" x14ac:dyDescent="0.2">
      <c r="A59" s="26" t="s">
        <v>480</v>
      </c>
      <c r="B59" s="66">
        <v>0.6</v>
      </c>
      <c r="C59" s="26" t="s">
        <v>474</v>
      </c>
    </row>
    <row r="60" spans="1:6" ht="13.75" x14ac:dyDescent="0.2">
      <c r="A60" s="26" t="s">
        <v>481</v>
      </c>
      <c r="B60" s="63">
        <v>45</v>
      </c>
      <c r="C60" s="26" t="s">
        <v>475</v>
      </c>
    </row>
    <row r="61" spans="1:6" ht="13.75" x14ac:dyDescent="0.2">
      <c r="A61" s="26" t="s">
        <v>482</v>
      </c>
      <c r="B61" s="63">
        <v>30</v>
      </c>
      <c r="C61" s="26" t="s">
        <v>383</v>
      </c>
    </row>
    <row r="62" spans="1:6" ht="13.75" x14ac:dyDescent="0.2">
      <c r="A62" s="26" t="s">
        <v>483</v>
      </c>
      <c r="B62" s="66">
        <v>0.1</v>
      </c>
      <c r="C62" s="26" t="s">
        <v>474</v>
      </c>
    </row>
    <row r="63" spans="1:6" ht="13.75" x14ac:dyDescent="0.2">
      <c r="A63" s="26" t="s">
        <v>484</v>
      </c>
      <c r="B63" s="66">
        <v>0.5</v>
      </c>
      <c r="C63" s="26" t="s">
        <v>476</v>
      </c>
      <c r="E63" s="63">
        <v>15</v>
      </c>
      <c r="F63" s="26" t="s">
        <v>477</v>
      </c>
    </row>
    <row r="64" spans="1:6" ht="13.75" x14ac:dyDescent="0.2">
      <c r="A64" s="26" t="s">
        <v>485</v>
      </c>
      <c r="B64" s="157">
        <v>0.19600000000000001</v>
      </c>
      <c r="C64" s="26" t="s">
        <v>478</v>
      </c>
      <c r="E64" s="63">
        <v>25</v>
      </c>
      <c r="F64" s="26" t="s">
        <v>477</v>
      </c>
    </row>
    <row r="66" spans="1:5" ht="41.5" x14ac:dyDescent="0.2">
      <c r="A66" s="97" t="s">
        <v>471</v>
      </c>
      <c r="B66" s="160" t="s">
        <v>392</v>
      </c>
      <c r="C66" s="160" t="s">
        <v>394</v>
      </c>
      <c r="D66" s="160" t="s">
        <v>393</v>
      </c>
    </row>
    <row r="67" spans="1:5" ht="13.75" x14ac:dyDescent="0.2">
      <c r="A67" s="26" t="s">
        <v>487</v>
      </c>
      <c r="B67" s="158">
        <f>-B59*(1+TVA)</f>
        <v>-0.7175999999999999</v>
      </c>
      <c r="C67" s="71">
        <f>B61</f>
        <v>30</v>
      </c>
      <c r="D67" s="71">
        <f t="shared" ref="D67:D72" si="0">B67*C67</f>
        <v>-21.527999999999999</v>
      </c>
    </row>
    <row r="68" spans="1:5" ht="13.75" x14ac:dyDescent="0.2">
      <c r="A68" s="26" t="s">
        <v>319</v>
      </c>
      <c r="B68" s="158">
        <f>-B62</f>
        <v>-0.1</v>
      </c>
      <c r="C68" s="71">
        <v>15</v>
      </c>
      <c r="D68" s="71">
        <f t="shared" si="0"/>
        <v>-1.5</v>
      </c>
    </row>
    <row r="69" spans="1:5" ht="13.75" x14ac:dyDescent="0.2">
      <c r="A69" s="26" t="s">
        <v>488</v>
      </c>
      <c r="B69" s="158">
        <f>-B62*B63</f>
        <v>-0.05</v>
      </c>
      <c r="C69" s="71">
        <f>15+E63</f>
        <v>30</v>
      </c>
      <c r="D69" s="71">
        <f t="shared" si="0"/>
        <v>-1.5</v>
      </c>
    </row>
    <row r="70" spans="1:5" ht="13.75" x14ac:dyDescent="0.2">
      <c r="A70" s="26" t="s">
        <v>472</v>
      </c>
      <c r="B70" s="158">
        <v>0.6</v>
      </c>
      <c r="C70" s="71">
        <f>360/B58</f>
        <v>90</v>
      </c>
      <c r="D70" s="71">
        <f t="shared" si="0"/>
        <v>54</v>
      </c>
    </row>
    <row r="71" spans="1:5" ht="13.75" x14ac:dyDescent="0.2">
      <c r="A71" s="26" t="s">
        <v>486</v>
      </c>
      <c r="B71" s="158">
        <f>(1+TVA)</f>
        <v>1.196</v>
      </c>
      <c r="C71" s="71">
        <f>B60+15</f>
        <v>60</v>
      </c>
      <c r="D71" s="71">
        <f t="shared" si="0"/>
        <v>71.759999999999991</v>
      </c>
    </row>
    <row r="72" spans="1:5" ht="13.75" x14ac:dyDescent="0.2">
      <c r="A72" s="26" t="s">
        <v>489</v>
      </c>
      <c r="B72" s="158">
        <f>-TVA+B59*TVA</f>
        <v>-7.8400000000000011E-2</v>
      </c>
      <c r="C72" s="71">
        <f>15+E64</f>
        <v>40</v>
      </c>
      <c r="D72" s="71">
        <f t="shared" si="0"/>
        <v>-3.1360000000000006</v>
      </c>
    </row>
    <row r="73" spans="1:5" ht="13.75" x14ac:dyDescent="0.2">
      <c r="A73" s="155" t="s">
        <v>962</v>
      </c>
      <c r="D73" s="71">
        <f>SUM(D67:D72)</f>
        <v>98.096000000000004</v>
      </c>
      <c r="E73" s="26" t="s">
        <v>383</v>
      </c>
    </row>
    <row r="76" spans="1:5" ht="13.75" x14ac:dyDescent="0.2">
      <c r="A76" s="45" t="s">
        <v>490</v>
      </c>
    </row>
    <row r="78" spans="1:5" ht="13.75" x14ac:dyDescent="0.2">
      <c r="A78" s="26" t="s">
        <v>479</v>
      </c>
      <c r="B78" s="63">
        <v>15</v>
      </c>
      <c r="C78" s="26" t="s">
        <v>473</v>
      </c>
    </row>
    <row r="79" spans="1:5" ht="13.75" x14ac:dyDescent="0.2">
      <c r="A79" s="26" t="s">
        <v>491</v>
      </c>
      <c r="B79" s="63">
        <v>90</v>
      </c>
      <c r="C79" s="26" t="s">
        <v>383</v>
      </c>
    </row>
    <row r="80" spans="1:5" ht="13.75" x14ac:dyDescent="0.2">
      <c r="A80" s="26" t="s">
        <v>492</v>
      </c>
      <c r="B80" s="63">
        <v>10</v>
      </c>
      <c r="C80" s="26" t="s">
        <v>383</v>
      </c>
    </row>
    <row r="81" spans="1:5" ht="13.75" x14ac:dyDescent="0.2">
      <c r="A81" s="26" t="s">
        <v>493</v>
      </c>
      <c r="B81" s="66">
        <v>0.75</v>
      </c>
    </row>
    <row r="82" spans="1:5" ht="13.75" x14ac:dyDescent="0.2">
      <c r="A82" s="26" t="s">
        <v>494</v>
      </c>
    </row>
    <row r="84" spans="1:5" ht="41.5" x14ac:dyDescent="0.2">
      <c r="A84" s="97" t="s">
        <v>413</v>
      </c>
      <c r="B84" s="160" t="s">
        <v>392</v>
      </c>
      <c r="C84" s="160" t="s">
        <v>394</v>
      </c>
      <c r="D84" s="160" t="s">
        <v>393</v>
      </c>
    </row>
    <row r="85" spans="1:5" ht="13.75" x14ac:dyDescent="0.2">
      <c r="A85" s="26" t="s">
        <v>472</v>
      </c>
      <c r="B85" s="110">
        <v>0.75</v>
      </c>
      <c r="C85" s="71">
        <f>365/B78</f>
        <v>24.333333333333332</v>
      </c>
      <c r="D85" s="71">
        <f>B85*C85</f>
        <v>18.25</v>
      </c>
    </row>
    <row r="86" spans="1:5" ht="13.75" x14ac:dyDescent="0.2">
      <c r="A86" s="26" t="s">
        <v>396</v>
      </c>
      <c r="B86" s="102">
        <v>1</v>
      </c>
      <c r="C86" s="71">
        <f>B80</f>
        <v>10</v>
      </c>
      <c r="D86" s="71">
        <f>B86*C86</f>
        <v>10</v>
      </c>
    </row>
    <row r="87" spans="1:5" ht="13.75" x14ac:dyDescent="0.2">
      <c r="A87" s="26" t="s">
        <v>487</v>
      </c>
      <c r="B87" s="110">
        <v>0.75</v>
      </c>
      <c r="C87" s="71">
        <f>B79</f>
        <v>90</v>
      </c>
      <c r="D87" s="71">
        <f>B87*C87</f>
        <v>67.5</v>
      </c>
    </row>
    <row r="88" spans="1:5" ht="13.75" x14ac:dyDescent="0.2">
      <c r="A88" s="155" t="s">
        <v>962</v>
      </c>
      <c r="D88" s="71">
        <f>D86+D85-D87</f>
        <v>-39.25</v>
      </c>
      <c r="E88" s="26" t="s">
        <v>383</v>
      </c>
    </row>
    <row r="90" spans="1:5" ht="13.75" x14ac:dyDescent="0.2">
      <c r="A90" s="45" t="s">
        <v>490</v>
      </c>
    </row>
    <row r="91" spans="1:5" ht="13.75" x14ac:dyDescent="0.2">
      <c r="A91" s="26" t="s">
        <v>1319</v>
      </c>
    </row>
  </sheetData>
  <phoneticPr fontId="4" type="noConversion"/>
  <pageMargins left="0.7" right="0.7" top="0.75" bottom="0.75" header="0.3" footer="0.3"/>
  <pageSetup paperSize="9" scale="76" fitToHeight="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39</vt:i4>
      </vt:variant>
      <vt:variant>
        <vt:lpstr>Plages nommées</vt:lpstr>
      </vt:variant>
      <vt:variant>
        <vt:i4>4</vt:i4>
      </vt:variant>
    </vt:vector>
  </HeadingPairs>
  <TitlesOfParts>
    <vt:vector size="43" baseType="lpstr">
      <vt:lpstr>Chapter 2</vt:lpstr>
      <vt:lpstr> Chapter 3</vt:lpstr>
      <vt:lpstr>Chapter 4</vt:lpstr>
      <vt:lpstr>Chapter 5</vt:lpstr>
      <vt:lpstr>Chapter 6</vt:lpstr>
      <vt:lpstr>Chapter 8</vt:lpstr>
      <vt:lpstr>Chapter 9</vt:lpstr>
      <vt:lpstr>Chapter 10</vt:lpstr>
      <vt:lpstr> Chapter 11</vt:lpstr>
      <vt:lpstr>Chapter 12</vt:lpstr>
      <vt:lpstr>Chapter 13</vt:lpstr>
      <vt:lpstr> Chapter 16</vt:lpstr>
      <vt:lpstr>Chapter 17</vt:lpstr>
      <vt:lpstr>Chapter 18</vt:lpstr>
      <vt:lpstr>Chapter 19</vt:lpstr>
      <vt:lpstr>Chapter 20</vt:lpstr>
      <vt:lpstr>Chapter 22 </vt:lpstr>
      <vt:lpstr>Chapter 23</vt:lpstr>
      <vt:lpstr>Chapter 24</vt:lpstr>
      <vt:lpstr> Chapter 25</vt:lpstr>
      <vt:lpstr> Chapter 26</vt:lpstr>
      <vt:lpstr>Chapter 27</vt:lpstr>
      <vt:lpstr>Chapter 28</vt:lpstr>
      <vt:lpstr> Chapter 29</vt:lpstr>
      <vt:lpstr>Chapter 30</vt:lpstr>
      <vt:lpstr>Chapter 31</vt:lpstr>
      <vt:lpstr>Chapter 32</vt:lpstr>
      <vt:lpstr> Chapter 33</vt:lpstr>
      <vt:lpstr>Chapter 34</vt:lpstr>
      <vt:lpstr>Chapter 35</vt:lpstr>
      <vt:lpstr>Chapter 36</vt:lpstr>
      <vt:lpstr>Chapter 37</vt:lpstr>
      <vt:lpstr> Chapter 38</vt:lpstr>
      <vt:lpstr>Chapter 40</vt:lpstr>
      <vt:lpstr>Chapter 45</vt:lpstr>
      <vt:lpstr>Chapter 47</vt:lpstr>
      <vt:lpstr> Chapter 48</vt:lpstr>
      <vt:lpstr> Chapter 50</vt:lpstr>
      <vt:lpstr>Chapter 51</vt:lpstr>
      <vt:lpstr>Jours</vt:lpstr>
      <vt:lpstr>TVA</vt:lpstr>
      <vt:lpstr>'Chapter 2'!Zone_d_impression</vt:lpstr>
      <vt:lpstr>'Chapter 28'!Zone_d_impression</vt:lpstr>
    </vt:vector>
  </TitlesOfParts>
  <Company>Carles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Pascal QUIRY</cp:lastModifiedBy>
  <cp:lastPrinted>2002-05-08T15:08:50Z</cp:lastPrinted>
  <dcterms:created xsi:type="dcterms:W3CDTF">2001-06-20T16:25:08Z</dcterms:created>
  <dcterms:modified xsi:type="dcterms:W3CDTF">2020-12-10T10:14:42Z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e4f81-4b1c-4a3a-b237-8636707719dc_Enabled">
    <vt:lpwstr>False</vt:lpwstr>
  </property>
  <property fmtid="{D5CDD505-2E9C-101B-9397-08002B2CF9AE}" pid="3" name="MSIP_Label_797e4f81-4b1c-4a3a-b237-8636707719dc_SiteId">
    <vt:lpwstr>d5bb6d35-8a82-4329-b49a-5030bd6497ab</vt:lpwstr>
  </property>
  <property fmtid="{D5CDD505-2E9C-101B-9397-08002B2CF9AE}" pid="4" name="MSIP_Label_797e4f81-4b1c-4a3a-b237-8636707719dc_SetBy">
    <vt:lpwstr>ylefur@cib.net</vt:lpwstr>
  </property>
  <property fmtid="{D5CDD505-2E9C-101B-9397-08002B2CF9AE}" pid="5" name="MSIP_Label_797e4f81-4b1c-4a3a-b237-8636707719dc_SetDate">
    <vt:lpwstr>2017-12-18T08:02:25.7598194+01:00</vt:lpwstr>
  </property>
  <property fmtid="{D5CDD505-2E9C-101B-9397-08002B2CF9AE}" pid="6" name="MSIP_Label_797e4f81-4b1c-4a3a-b237-8636707719dc_Name">
    <vt:lpwstr>C2 - Internal Natixis</vt:lpwstr>
  </property>
  <property fmtid="{D5CDD505-2E9C-101B-9397-08002B2CF9AE}" pid="7" name="MSIP_Label_797e4f81-4b1c-4a3a-b237-8636707719dc_Application">
    <vt:lpwstr>Microsoft Azure Information Protection</vt:lpwstr>
  </property>
  <property fmtid="{D5CDD505-2E9C-101B-9397-08002B2CF9AE}" pid="8" name="MSIP_Label_797e4f81-4b1c-4a3a-b237-8636707719dc_Extended_MSFT_Method">
    <vt:lpwstr>Automatic</vt:lpwstr>
  </property>
  <property fmtid="{D5CDD505-2E9C-101B-9397-08002B2CF9AE}" pid="9" name="Sensitivity">
    <vt:lpwstr/>
  </property>
</Properties>
</file>